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202300"/>
  <mc:AlternateContent xmlns:mc="http://schemas.openxmlformats.org/markup-compatibility/2006">
    <mc:Choice Requires="x15">
      <x15ac:absPath xmlns:x15ac="http://schemas.microsoft.com/office/spreadsheetml/2010/11/ac" url="C:\Users\HayTo\Desktop\"/>
    </mc:Choice>
  </mc:AlternateContent>
  <xr:revisionPtr revIDLastSave="0" documentId="8_{D77364E5-32A7-4F3E-9754-4FBCAFB0EBDA}" xr6:coauthVersionLast="47" xr6:coauthVersionMax="47" xr10:uidLastSave="{00000000-0000-0000-0000-000000000000}"/>
  <workbookProtection workbookAlgorithmName="SHA-512" workbookHashValue="H+TKSar9NrBkwx6YppkeqZnrmrcOqIYkU/4C+IdtFgzI5K9LWRbU8/4IR2gODErHzK+OZ9w738wt1HxlTxQZVw==" workbookSaltValue="KoctaluS1W7QMgWRE9NYPg==" workbookSpinCount="100000" lockStructure="1"/>
  <bookViews>
    <workbookView xWindow="-110" yWindow="-110" windowWidth="19420" windowHeight="10300" xr2:uid="{A18DB78E-4B66-4996-BE47-0411E54F241C}"/>
  </bookViews>
  <sheets>
    <sheet name="ETUSIVU" sheetId="31" r:id="rId1"/>
    <sheet name="Tuotekortti" sheetId="7" state="hidden" r:id="rId2"/>
    <sheet name="Hinnoittelu v1" sheetId="1" state="hidden" r:id="rId3"/>
    <sheet name="Sheet5" sheetId="12" state="hidden" r:id="rId4"/>
    <sheet name="BMC" sheetId="14" state="hidden" r:id="rId5"/>
    <sheet name="Myyntiennuste" sheetId="4" state="hidden" r:id="rId6"/>
    <sheet name="Kiinteät kustannukset" sheetId="5" state="hidden" r:id="rId7"/>
    <sheet name="Kassavirtalaskelma" sheetId="3" state="hidden" r:id="rId8"/>
    <sheet name="HINNOITTELU" sheetId="9" r:id="rId9"/>
    <sheet name="Katetuottoajattelu" sheetId="11" state="hidden" r:id="rId10"/>
    <sheet name="1 INVESTOINTISUUNNITELMA" sheetId="18" r:id="rId11"/>
    <sheet name="AT1 Investoinnit" sheetId="24" state="hidden" r:id="rId12"/>
    <sheet name="2 &amp; 7 TULOSSUUNNITELMA" sheetId="6" r:id="rId13"/>
    <sheet name="3 TASE" sheetId="15" r:id="rId14"/>
    <sheet name="4 LAINAT" sheetId="20" r:id="rId15"/>
    <sheet name="AT4 Lainat" sheetId="28" state="hidden" r:id="rId16"/>
    <sheet name="5 KUSTANNUKSET" sheetId="19" r:id="rId17"/>
    <sheet name="AT5 Alv-ostot" sheetId="29" state="hidden" r:id="rId18"/>
    <sheet name="6 LIIKEVAIHTO" sheetId="21" r:id="rId19"/>
    <sheet name="8 RAHOITUSSUUNNITELMA" sheetId="16" r:id="rId20"/>
    <sheet name="9 KASSABUDJETTI" sheetId="17" r:id="rId21"/>
    <sheet name="AT9 Kassa" sheetId="26" state="hidden" r:id="rId22"/>
    <sheet name="AT9 Alv-laskenta" sheetId="27" state="hidden" r:id="rId23"/>
    <sheet name="10 YHTEENVETO" sheetId="35" r:id="rId24"/>
    <sheet name="11 GRAAFIT" sheetId="36" r:id="rId25"/>
    <sheet name="AT11 Data graafeihin" sheetId="37" state="hidden" r:id="rId26"/>
    <sheet name="Parametrit" sheetId="2" state="hidden" r:id="rId2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1" i="9" l="1"/>
  <c r="J111" i="9" s="1"/>
  <c r="G110" i="9"/>
  <c r="J110" i="9" s="1"/>
  <c r="I110" i="9" s="1"/>
  <c r="G109" i="9"/>
  <c r="J109" i="9" s="1"/>
  <c r="G108" i="9"/>
  <c r="J108" i="9" s="1"/>
  <c r="G107" i="9"/>
  <c r="J107" i="9" s="1"/>
  <c r="G106" i="9"/>
  <c r="J106" i="9" s="1"/>
  <c r="I106" i="9" s="1"/>
  <c r="G105" i="9"/>
  <c r="J105" i="9" s="1"/>
  <c r="G98" i="9"/>
  <c r="J98" i="9" s="1"/>
  <c r="G97" i="9"/>
  <c r="J97" i="9" s="1"/>
  <c r="G96" i="9"/>
  <c r="J96" i="9" s="1"/>
  <c r="G95" i="9"/>
  <c r="J95" i="9" s="1"/>
  <c r="I95" i="9" s="1"/>
  <c r="G94" i="9"/>
  <c r="J94" i="9" s="1"/>
  <c r="J93" i="9"/>
  <c r="L93" i="9" s="1"/>
  <c r="M93" i="9" s="1"/>
  <c r="G93" i="9"/>
  <c r="J92" i="9"/>
  <c r="I92" i="9" s="1"/>
  <c r="G92" i="9"/>
  <c r="G91" i="9"/>
  <c r="J91" i="9" s="1"/>
  <c r="G90" i="9"/>
  <c r="J90" i="9" s="1"/>
  <c r="G89" i="9"/>
  <c r="J89" i="9" s="1"/>
  <c r="G88" i="9"/>
  <c r="J88" i="9" s="1"/>
  <c r="G87" i="9"/>
  <c r="J87" i="9" s="1"/>
  <c r="I87" i="9" s="1"/>
  <c r="G86" i="9"/>
  <c r="M80" i="9"/>
  <c r="J80" i="9"/>
  <c r="I80" i="9"/>
  <c r="G73" i="9"/>
  <c r="J73" i="9" s="1"/>
  <c r="G72" i="9"/>
  <c r="J72" i="9" s="1"/>
  <c r="G71" i="9"/>
  <c r="J71" i="9" s="1"/>
  <c r="G70" i="9"/>
  <c r="J70" i="9" s="1"/>
  <c r="G69" i="9"/>
  <c r="J69" i="9" s="1"/>
  <c r="G68" i="9"/>
  <c r="J68" i="9" s="1"/>
  <c r="L68" i="9" s="1"/>
  <c r="G67" i="9"/>
  <c r="G60" i="9"/>
  <c r="J60" i="9" s="1"/>
  <c r="G59" i="9"/>
  <c r="J59" i="9" s="1"/>
  <c r="G58" i="9"/>
  <c r="J58" i="9" s="1"/>
  <c r="G57" i="9"/>
  <c r="J57" i="9" s="1"/>
  <c r="L57" i="9" s="1"/>
  <c r="G56" i="9"/>
  <c r="J56" i="9" s="1"/>
  <c r="G55" i="9"/>
  <c r="J55" i="9" s="1"/>
  <c r="G54" i="9"/>
  <c r="J54" i="9" s="1"/>
  <c r="L54" i="9" s="1"/>
  <c r="M54" i="9" s="1"/>
  <c r="G53" i="9"/>
  <c r="J53" i="9" s="1"/>
  <c r="G52" i="9"/>
  <c r="J52" i="9" s="1"/>
  <c r="G51" i="9"/>
  <c r="J51" i="9" s="1"/>
  <c r="G50" i="9"/>
  <c r="J50" i="9" s="1"/>
  <c r="G49" i="9"/>
  <c r="J49" i="9" s="1"/>
  <c r="G48" i="9"/>
  <c r="J48" i="9" s="1"/>
  <c r="M42" i="9"/>
  <c r="J42" i="9"/>
  <c r="I42" i="9"/>
  <c r="M4" i="9"/>
  <c r="J4" i="9"/>
  <c r="I4" i="9"/>
  <c r="G16" i="9"/>
  <c r="J16" i="9" s="1"/>
  <c r="I16" i="9" s="1"/>
  <c r="G17" i="9"/>
  <c r="J17" i="9" s="1"/>
  <c r="L17" i="9" s="1"/>
  <c r="G18" i="9"/>
  <c r="J18" i="9" s="1"/>
  <c r="G19" i="9"/>
  <c r="J19" i="9" s="1"/>
  <c r="G20" i="9"/>
  <c r="J20" i="9" s="1"/>
  <c r="G21" i="9"/>
  <c r="J21" i="9" s="1"/>
  <c r="I21" i="9" s="1"/>
  <c r="G22" i="9"/>
  <c r="J22" i="9" s="1"/>
  <c r="D39" i="37"/>
  <c r="E39" i="37"/>
  <c r="F39" i="37"/>
  <c r="G39" i="37"/>
  <c r="H39" i="37"/>
  <c r="C39" i="37"/>
  <c r="D31" i="37"/>
  <c r="C30" i="37"/>
  <c r="H38" i="37"/>
  <c r="G38" i="37"/>
  <c r="F38" i="37"/>
  <c r="E38" i="37"/>
  <c r="H35" i="37"/>
  <c r="G35" i="37"/>
  <c r="F35" i="37"/>
  <c r="E35" i="37"/>
  <c r="H37" i="37"/>
  <c r="G37" i="37"/>
  <c r="F37" i="37"/>
  <c r="E37" i="37"/>
  <c r="H36" i="37"/>
  <c r="G36" i="37"/>
  <c r="F36" i="37"/>
  <c r="E36" i="37"/>
  <c r="H34" i="37"/>
  <c r="G34" i="37"/>
  <c r="F34" i="37"/>
  <c r="E34" i="37"/>
  <c r="G99" i="9" l="1"/>
  <c r="G81" i="9" s="1"/>
  <c r="L92" i="9"/>
  <c r="M92" i="9" s="1"/>
  <c r="I94" i="9"/>
  <c r="L94" i="9"/>
  <c r="M94" i="9" s="1"/>
  <c r="I90" i="9"/>
  <c r="L90" i="9"/>
  <c r="M90" i="9"/>
  <c r="L89" i="9"/>
  <c r="M89" i="9" s="1"/>
  <c r="I89" i="9"/>
  <c r="I91" i="9"/>
  <c r="L91" i="9"/>
  <c r="M91" i="9" s="1"/>
  <c r="L107" i="9"/>
  <c r="I107" i="9"/>
  <c r="N107" i="9"/>
  <c r="M107" i="9"/>
  <c r="N108" i="9"/>
  <c r="L108" i="9"/>
  <c r="M108" i="9" s="1"/>
  <c r="I108" i="9"/>
  <c r="L96" i="9"/>
  <c r="M96" i="9" s="1"/>
  <c r="I96" i="9"/>
  <c r="L109" i="9"/>
  <c r="M109" i="9" s="1"/>
  <c r="N109" i="9"/>
  <c r="I109" i="9"/>
  <c r="L97" i="9"/>
  <c r="M97" i="9" s="1"/>
  <c r="I97" i="9"/>
  <c r="L98" i="9"/>
  <c r="M98" i="9" s="1"/>
  <c r="I98" i="9"/>
  <c r="L88" i="9"/>
  <c r="M88" i="9" s="1"/>
  <c r="I88" i="9"/>
  <c r="L105" i="9"/>
  <c r="M105" i="9" s="1"/>
  <c r="N105" i="9"/>
  <c r="J112" i="9"/>
  <c r="I105" i="9"/>
  <c r="L111" i="9"/>
  <c r="M111" i="9"/>
  <c r="I111" i="9"/>
  <c r="N111" i="9"/>
  <c r="L87" i="9"/>
  <c r="M87" i="9" s="1"/>
  <c r="L95" i="9"/>
  <c r="M95" i="9" s="1"/>
  <c r="L106" i="9"/>
  <c r="M106" i="9" s="1"/>
  <c r="L110" i="9"/>
  <c r="M110" i="9" s="1"/>
  <c r="G112" i="9"/>
  <c r="N106" i="9"/>
  <c r="N110" i="9"/>
  <c r="I93" i="9"/>
  <c r="J86" i="9"/>
  <c r="L49" i="9"/>
  <c r="M49" i="9" s="1"/>
  <c r="I49" i="9"/>
  <c r="N72" i="9"/>
  <c r="L72" i="9"/>
  <c r="M72" i="9" s="1"/>
  <c r="I72" i="9"/>
  <c r="L70" i="9"/>
  <c r="M70" i="9" s="1"/>
  <c r="I70" i="9"/>
  <c r="N70" i="9"/>
  <c r="N68" i="9"/>
  <c r="L16" i="9"/>
  <c r="M68" i="9"/>
  <c r="M57" i="9"/>
  <c r="G74" i="9"/>
  <c r="I57" i="9"/>
  <c r="I68" i="9"/>
  <c r="I53" i="9"/>
  <c r="L53" i="9"/>
  <c r="M53" i="9" s="1"/>
  <c r="N71" i="9"/>
  <c r="L71" i="9"/>
  <c r="M71" i="9" s="1"/>
  <c r="I71" i="9"/>
  <c r="L59" i="9"/>
  <c r="M59" i="9" s="1"/>
  <c r="I59" i="9"/>
  <c r="L50" i="9"/>
  <c r="M50" i="9" s="1"/>
  <c r="I50" i="9"/>
  <c r="J61" i="9"/>
  <c r="J43" i="9" s="1"/>
  <c r="L48" i="9"/>
  <c r="I48" i="9"/>
  <c r="L58" i="9"/>
  <c r="M58" i="9" s="1"/>
  <c r="I58" i="9"/>
  <c r="L55" i="9"/>
  <c r="M55" i="9" s="1"/>
  <c r="I55" i="9"/>
  <c r="L69" i="9"/>
  <c r="M69" i="9" s="1"/>
  <c r="I69" i="9"/>
  <c r="N69" i="9"/>
  <c r="L51" i="9"/>
  <c r="M51" i="9" s="1"/>
  <c r="I51" i="9"/>
  <c r="I60" i="9"/>
  <c r="L60" i="9"/>
  <c r="M60" i="9" s="1"/>
  <c r="I52" i="9"/>
  <c r="L52" i="9"/>
  <c r="M52" i="9" s="1"/>
  <c r="L73" i="9"/>
  <c r="M73" i="9" s="1"/>
  <c r="I73" i="9"/>
  <c r="N73" i="9"/>
  <c r="I54" i="9"/>
  <c r="I56" i="9"/>
  <c r="G61" i="9"/>
  <c r="G43" i="9" s="1"/>
  <c r="J67" i="9"/>
  <c r="L56" i="9"/>
  <c r="M56" i="9" s="1"/>
  <c r="L20" i="9"/>
  <c r="M20" i="9" s="1"/>
  <c r="I18" i="9"/>
  <c r="L18" i="9"/>
  <c r="M18" i="9" s="1"/>
  <c r="M16" i="9"/>
  <c r="I19" i="9"/>
  <c r="L19" i="9"/>
  <c r="M19" i="9" s="1"/>
  <c r="L22" i="9"/>
  <c r="M22" i="9" s="1"/>
  <c r="I22" i="9"/>
  <c r="I17" i="9"/>
  <c r="I20" i="9"/>
  <c r="L21" i="9"/>
  <c r="M21" i="9" s="1"/>
  <c r="M17" i="9"/>
  <c r="M112" i="9" l="1"/>
  <c r="L112" i="9"/>
  <c r="I86" i="9"/>
  <c r="I99" i="9" s="1"/>
  <c r="J99" i="9"/>
  <c r="J81" i="9" s="1"/>
  <c r="L86" i="9"/>
  <c r="L99" i="9" s="1"/>
  <c r="I112" i="9"/>
  <c r="I113" i="9" s="1"/>
  <c r="L61" i="9"/>
  <c r="M48" i="9"/>
  <c r="M61" i="9" s="1"/>
  <c r="M43" i="9" s="1"/>
  <c r="J74" i="9"/>
  <c r="L67" i="9"/>
  <c r="L74" i="9" s="1"/>
  <c r="I67" i="9"/>
  <c r="I74" i="9" s="1"/>
  <c r="I75" i="9" s="1"/>
  <c r="N67" i="9"/>
  <c r="I61" i="9"/>
  <c r="M86" i="9" l="1"/>
  <c r="M99" i="9" s="1"/>
  <c r="M81" i="9" s="1"/>
  <c r="I100" i="9"/>
  <c r="I81" i="9"/>
  <c r="I62" i="9"/>
  <c r="I43" i="9"/>
  <c r="M67" i="9"/>
  <c r="M74" i="9" s="1"/>
  <c r="K25" i="20" l="1"/>
  <c r="G25" i="20"/>
  <c r="H33" i="37"/>
  <c r="G33" i="37"/>
  <c r="F33" i="37"/>
  <c r="F7" i="37"/>
  <c r="G7" i="37"/>
  <c r="H7" i="37"/>
  <c r="F6" i="37"/>
  <c r="G6" i="37"/>
  <c r="H6" i="37"/>
  <c r="F5" i="37"/>
  <c r="G5" i="37"/>
  <c r="H5" i="37"/>
  <c r="D81" i="37" l="1"/>
  <c r="C81" i="37"/>
  <c r="C76" i="37"/>
  <c r="C75" i="37"/>
  <c r="D58" i="37"/>
  <c r="D53" i="37"/>
  <c r="C53" i="37"/>
  <c r="D52" i="37"/>
  <c r="C52" i="37"/>
  <c r="D26" i="37"/>
  <c r="C26" i="37"/>
  <c r="D23" i="37"/>
  <c r="C23" i="37"/>
  <c r="D22" i="37"/>
  <c r="C22" i="37"/>
  <c r="D20" i="37"/>
  <c r="C20" i="37"/>
  <c r="D19" i="37"/>
  <c r="C19" i="37"/>
  <c r="D17" i="37"/>
  <c r="C17" i="37"/>
  <c r="D9" i="37"/>
  <c r="C9" i="37"/>
  <c r="H4" i="37"/>
  <c r="G4" i="37"/>
  <c r="F4" i="37"/>
  <c r="E4" i="37"/>
  <c r="D4" i="37"/>
  <c r="C4" i="37"/>
  <c r="I45" i="15" l="1"/>
  <c r="E22" i="37" s="1"/>
  <c r="I63" i="15"/>
  <c r="E26" i="37" s="1"/>
  <c r="S43" i="15" l="1"/>
  <c r="S44" i="15"/>
  <c r="J63" i="15"/>
  <c r="F26" i="37" s="1"/>
  <c r="K63" i="15" l="1"/>
  <c r="G26" i="37" s="1"/>
  <c r="I87" i="15"/>
  <c r="J11" i="20"/>
  <c r="M11" i="20" s="1"/>
  <c r="D47" i="20"/>
  <c r="I11" i="20"/>
  <c r="L63" i="15" l="1"/>
  <c r="H26" i="37" s="1"/>
  <c r="L11" i="20"/>
  <c r="M10" i="28" l="1"/>
  <c r="I71" i="15" l="1"/>
  <c r="P10" i="28"/>
  <c r="F10" i="21" l="1"/>
  <c r="D45" i="37" s="1"/>
  <c r="M75" i="19"/>
  <c r="K75" i="19"/>
  <c r="I75" i="19"/>
  <c r="G61" i="19"/>
  <c r="G64" i="19"/>
  <c r="M64" i="19"/>
  <c r="K64" i="19"/>
  <c r="I64" i="19"/>
  <c r="M70" i="19"/>
  <c r="K70" i="19"/>
  <c r="I70" i="19"/>
  <c r="G70" i="19"/>
  <c r="G72" i="19"/>
  <c r="G75" i="19"/>
  <c r="G53" i="19"/>
  <c r="N67" i="15" l="1"/>
  <c r="J75" i="15"/>
  <c r="L52" i="18"/>
  <c r="G96" i="17" l="1"/>
  <c r="G82" i="17"/>
  <c r="M71" i="17"/>
  <c r="N71" i="17"/>
  <c r="O71" i="17"/>
  <c r="Q71" i="17"/>
  <c r="R71" i="17"/>
  <c r="G71" i="17"/>
  <c r="M69" i="17"/>
  <c r="N69" i="17"/>
  <c r="O69" i="17"/>
  <c r="Q69" i="17"/>
  <c r="R69" i="17"/>
  <c r="G69" i="17"/>
  <c r="G40" i="17"/>
  <c r="G26" i="17"/>
  <c r="D6" i="17"/>
  <c r="H13" i="17"/>
  <c r="I13" i="17" s="1"/>
  <c r="I69" i="17" s="1"/>
  <c r="H69" i="17" l="1"/>
  <c r="M5" i="16"/>
  <c r="D5" i="16"/>
  <c r="J12" i="6" l="1"/>
  <c r="F5" i="21"/>
  <c r="G5" i="20"/>
  <c r="C5" i="20"/>
  <c r="M5" i="19"/>
  <c r="G5" i="19"/>
  <c r="D5" i="19"/>
  <c r="C5" i="21"/>
  <c r="C5" i="15"/>
  <c r="N17" i="17" l="1"/>
  <c r="M17" i="17"/>
  <c r="O17" i="17"/>
  <c r="Q17" i="17"/>
  <c r="H17" i="17"/>
  <c r="L17" i="17"/>
  <c r="P17" i="17"/>
  <c r="J17" i="17"/>
  <c r="I17" i="17"/>
  <c r="R17" i="17"/>
  <c r="K17" i="17"/>
  <c r="G17" i="17"/>
  <c r="P5" i="6"/>
  <c r="H5" i="6"/>
  <c r="D5" i="6"/>
  <c r="G81" i="21" l="1"/>
  <c r="G74" i="21"/>
  <c r="G67" i="21"/>
  <c r="G60" i="21"/>
  <c r="G53" i="21"/>
  <c r="G46" i="21"/>
  <c r="G39" i="21"/>
  <c r="G32" i="21"/>
  <c r="G25" i="21"/>
  <c r="G18" i="21"/>
  <c r="E82" i="21"/>
  <c r="E83" i="21"/>
  <c r="E75" i="21"/>
  <c r="E76" i="21"/>
  <c r="E68" i="21"/>
  <c r="E69" i="21"/>
  <c r="E61" i="21"/>
  <c r="E62" i="21"/>
  <c r="E54" i="21"/>
  <c r="E55" i="21"/>
  <c r="E47" i="21"/>
  <c r="E48" i="21"/>
  <c r="E40" i="21"/>
  <c r="E41" i="21"/>
  <c r="E33" i="21"/>
  <c r="E34" i="21"/>
  <c r="E26" i="21"/>
  <c r="E27" i="21"/>
  <c r="E19" i="21"/>
  <c r="E20" i="21"/>
  <c r="E10" i="21"/>
  <c r="C45" i="37" s="1"/>
  <c r="E11" i="21"/>
  <c r="C46" i="37" s="1"/>
  <c r="F11" i="21"/>
  <c r="H15" i="15"/>
  <c r="D18" i="37" s="1"/>
  <c r="F12" i="21" l="1"/>
  <c r="D46" i="37"/>
  <c r="D47" i="37" s="1"/>
  <c r="D48" i="37" s="1"/>
  <c r="C47" i="37"/>
  <c r="C48" i="37" s="1"/>
  <c r="E12" i="21"/>
  <c r="H14" i="6"/>
  <c r="D10" i="37" s="1"/>
  <c r="AA78" i="35"/>
  <c r="AH68" i="35"/>
  <c r="AK68" i="35"/>
  <c r="AN68" i="35"/>
  <c r="AF69" i="35"/>
  <c r="AG69" i="35"/>
  <c r="AK69" i="35"/>
  <c r="AN69" i="35"/>
  <c r="AF70" i="35"/>
  <c r="AG70" i="35"/>
  <c r="AH70" i="35"/>
  <c r="AI70" i="35"/>
  <c r="AJ70" i="35"/>
  <c r="AN70" i="35"/>
  <c r="AF71" i="35"/>
  <c r="AG71" i="35"/>
  <c r="AH71" i="35"/>
  <c r="AI71" i="35"/>
  <c r="AJ71" i="35"/>
  <c r="AK71" i="35"/>
  <c r="AL71" i="35"/>
  <c r="AM71" i="35"/>
  <c r="AE69" i="35"/>
  <c r="AE70" i="35"/>
  <c r="AE71" i="35"/>
  <c r="AD69" i="35"/>
  <c r="AD70" i="35"/>
  <c r="AD71" i="35"/>
  <c r="AD73" i="35"/>
  <c r="AD74" i="35"/>
  <c r="AD75" i="35"/>
  <c r="AD68" i="35"/>
  <c r="AC69" i="35"/>
  <c r="AC70" i="35"/>
  <c r="AC71" i="35"/>
  <c r="AC76" i="35"/>
  <c r="AC68" i="35"/>
  <c r="AB69" i="35"/>
  <c r="AB70" i="35"/>
  <c r="AB71" i="35"/>
  <c r="AB76" i="35"/>
  <c r="AB68" i="35"/>
  <c r="AA76" i="35"/>
  <c r="AA72" i="35"/>
  <c r="AA73" i="35"/>
  <c r="AA74" i="35"/>
  <c r="AA75" i="35"/>
  <c r="AA69" i="35"/>
  <c r="AA70" i="35"/>
  <c r="AA71" i="35"/>
  <c r="AA68" i="35"/>
  <c r="AA30" i="35"/>
  <c r="AF59" i="35"/>
  <c r="AG59" i="35"/>
  <c r="AH59" i="35"/>
  <c r="AI59" i="35"/>
  <c r="AJ59" i="35"/>
  <c r="AK59" i="35"/>
  <c r="AL59" i="35"/>
  <c r="AM59" i="35"/>
  <c r="AO59" i="35"/>
  <c r="AF60" i="35"/>
  <c r="AG60" i="35"/>
  <c r="AH60" i="35"/>
  <c r="AI60" i="35"/>
  <c r="AJ60" i="35"/>
  <c r="AK60" i="35"/>
  <c r="AL60" i="35"/>
  <c r="AM60" i="35"/>
  <c r="AO60" i="35"/>
  <c r="AF61" i="35"/>
  <c r="AG61" i="35"/>
  <c r="AH61" i="35"/>
  <c r="AI61" i="35"/>
  <c r="AJ61" i="35"/>
  <c r="AK61" i="35"/>
  <c r="AL61" i="35"/>
  <c r="AM61" i="35"/>
  <c r="AO61" i="35"/>
  <c r="AE60" i="35"/>
  <c r="AE61" i="35"/>
  <c r="AE59" i="35"/>
  <c r="AD60" i="35"/>
  <c r="AD61" i="35"/>
  <c r="AD59" i="35"/>
  <c r="AC60" i="35"/>
  <c r="AC61" i="35"/>
  <c r="AC59" i="35"/>
  <c r="AB60" i="35"/>
  <c r="AB61" i="35"/>
  <c r="AB59" i="35"/>
  <c r="AF55" i="35"/>
  <c r="AG55" i="35"/>
  <c r="AH55" i="35"/>
  <c r="AI55" i="35"/>
  <c r="AJ55" i="35"/>
  <c r="AL55" i="35"/>
  <c r="AN55" i="35"/>
  <c r="AF56" i="35"/>
  <c r="AG56" i="35"/>
  <c r="AH56" i="35"/>
  <c r="AI56" i="35"/>
  <c r="AJ56" i="35"/>
  <c r="AL56" i="35"/>
  <c r="AN56" i="35"/>
  <c r="AF57" i="35"/>
  <c r="AG57" i="35"/>
  <c r="AH57" i="35"/>
  <c r="AI57" i="35"/>
  <c r="AJ57" i="35"/>
  <c r="AL57" i="35"/>
  <c r="AN57" i="35"/>
  <c r="AE56" i="35"/>
  <c r="AE57" i="35"/>
  <c r="AE55" i="35"/>
  <c r="AD56" i="35"/>
  <c r="AD57" i="35"/>
  <c r="AD55" i="35"/>
  <c r="AC56" i="35"/>
  <c r="AC57" i="35"/>
  <c r="AC55" i="35"/>
  <c r="AB56" i="35"/>
  <c r="AB57" i="35"/>
  <c r="AB55" i="35"/>
  <c r="AF51" i="35"/>
  <c r="AG51" i="35"/>
  <c r="AI51" i="35"/>
  <c r="AK51" i="35"/>
  <c r="AN51" i="35"/>
  <c r="AF52" i="35"/>
  <c r="AG52" i="35"/>
  <c r="AI52" i="35"/>
  <c r="AK52" i="35"/>
  <c r="AN52" i="35"/>
  <c r="AF53" i="35"/>
  <c r="AG53" i="35"/>
  <c r="AI53" i="35"/>
  <c r="AK53" i="35"/>
  <c r="AN53" i="35"/>
  <c r="AE52" i="35"/>
  <c r="AE53" i="35"/>
  <c r="AE51" i="35"/>
  <c r="AD52" i="35"/>
  <c r="AD53" i="35"/>
  <c r="AD51" i="35"/>
  <c r="AC52" i="35"/>
  <c r="AC53" i="35"/>
  <c r="AC51" i="35"/>
  <c r="AB52" i="35"/>
  <c r="AB53" i="35"/>
  <c r="AB51" i="35"/>
  <c r="AF47" i="35"/>
  <c r="AH47" i="35"/>
  <c r="AK47" i="35"/>
  <c r="AN47" i="35"/>
  <c r="AF48" i="35"/>
  <c r="AH48" i="35"/>
  <c r="AK48" i="35"/>
  <c r="AN48" i="35"/>
  <c r="AF49" i="35"/>
  <c r="AH49" i="35"/>
  <c r="AK49" i="35"/>
  <c r="AN49" i="35"/>
  <c r="AD48" i="35"/>
  <c r="AD49" i="35"/>
  <c r="AD47" i="35"/>
  <c r="AC48" i="35"/>
  <c r="AC49" i="35"/>
  <c r="AC47" i="35"/>
  <c r="AB48" i="35"/>
  <c r="AB49" i="35"/>
  <c r="AB47" i="35"/>
  <c r="AG31" i="35"/>
  <c r="AE32" i="35"/>
  <c r="AE33" i="35"/>
  <c r="AE34" i="35"/>
  <c r="AE35" i="35"/>
  <c r="AE36" i="35"/>
  <c r="AE37" i="35"/>
  <c r="AE38" i="35"/>
  <c r="AE31" i="35"/>
  <c r="AB32" i="35"/>
  <c r="AB33" i="35"/>
  <c r="AB34" i="35"/>
  <c r="AB35" i="35"/>
  <c r="AB36" i="35"/>
  <c r="AB37" i="35"/>
  <c r="AB38" i="35"/>
  <c r="AB31" i="35"/>
  <c r="AD40" i="35"/>
  <c r="AC40" i="35"/>
  <c r="AD32" i="35"/>
  <c r="AD33" i="35"/>
  <c r="AD34" i="35"/>
  <c r="AD35" i="35"/>
  <c r="AD36" i="35"/>
  <c r="AD37" i="35"/>
  <c r="AD38" i="35"/>
  <c r="AD31" i="35"/>
  <c r="AC32" i="35"/>
  <c r="AC33" i="35"/>
  <c r="AC34" i="35"/>
  <c r="AC35" i="35"/>
  <c r="AC36" i="35"/>
  <c r="AC37" i="35"/>
  <c r="AC38" i="35"/>
  <c r="AC31" i="35"/>
  <c r="AA61" i="35"/>
  <c r="AA62" i="35"/>
  <c r="AA55" i="35"/>
  <c r="AA56" i="35"/>
  <c r="AA57" i="35"/>
  <c r="AA58" i="35"/>
  <c r="AA59" i="35"/>
  <c r="AA60" i="35"/>
  <c r="AA46" i="35"/>
  <c r="AA47" i="35"/>
  <c r="AA48" i="35"/>
  <c r="AA49" i="35"/>
  <c r="AA50" i="35"/>
  <c r="AA51" i="35"/>
  <c r="AA52" i="35"/>
  <c r="AA53" i="35"/>
  <c r="AA54" i="35"/>
  <c r="AA45" i="35"/>
  <c r="AA32" i="35"/>
  <c r="AA33" i="35"/>
  <c r="AA34" i="35"/>
  <c r="AA35" i="35"/>
  <c r="AA36" i="35"/>
  <c r="AA37" i="35"/>
  <c r="AA38" i="35"/>
  <c r="AA31" i="35"/>
  <c r="AH28" i="35"/>
  <c r="AK28" i="35"/>
  <c r="AN28" i="35"/>
  <c r="AE28" i="35"/>
  <c r="T31" i="35"/>
  <c r="U31" i="35"/>
  <c r="T32" i="35"/>
  <c r="U32" i="35"/>
  <c r="T33" i="35"/>
  <c r="U33" i="35"/>
  <c r="T35" i="35"/>
  <c r="U35" i="35"/>
  <c r="T37" i="35"/>
  <c r="U37" i="35"/>
  <c r="T39" i="35"/>
  <c r="U39" i="35"/>
  <c r="T40" i="35"/>
  <c r="U40" i="35"/>
  <c r="T41" i="35"/>
  <c r="U41" i="35"/>
  <c r="T43" i="35"/>
  <c r="U43" i="35"/>
  <c r="T46" i="35"/>
  <c r="U46" i="35"/>
  <c r="T50" i="35"/>
  <c r="U50" i="35"/>
  <c r="T9" i="35"/>
  <c r="U9" i="35"/>
  <c r="T11" i="35"/>
  <c r="U11" i="35"/>
  <c r="T12" i="35"/>
  <c r="U12" i="35"/>
  <c r="T13" i="35"/>
  <c r="U13" i="35"/>
  <c r="T14" i="35"/>
  <c r="U14" i="35"/>
  <c r="T15" i="35"/>
  <c r="U15" i="35"/>
  <c r="T17" i="35"/>
  <c r="U17" i="35"/>
  <c r="T19" i="35"/>
  <c r="U19" i="35"/>
  <c r="T20" i="35"/>
  <c r="U20" i="35"/>
  <c r="T21" i="35"/>
  <c r="U21" i="35"/>
  <c r="T22" i="35"/>
  <c r="U22" i="35"/>
  <c r="T23" i="35"/>
  <c r="U23" i="35"/>
  <c r="T24" i="35"/>
  <c r="U24" i="35"/>
  <c r="AE20" i="35"/>
  <c r="I17" i="6" l="1"/>
  <c r="I15" i="6"/>
  <c r="I19" i="6"/>
  <c r="I18" i="6"/>
  <c r="I16" i="6"/>
  <c r="W71" i="35" l="1"/>
  <c r="X71" i="35"/>
  <c r="Y71" i="35"/>
  <c r="V71" i="35"/>
  <c r="W54" i="35"/>
  <c r="X54" i="35"/>
  <c r="Y54" i="35"/>
  <c r="V54" i="35"/>
  <c r="W41" i="35" l="1"/>
  <c r="X41" i="35"/>
  <c r="Y41" i="35"/>
  <c r="V41" i="35"/>
  <c r="W37" i="35"/>
  <c r="X37" i="35"/>
  <c r="Y37" i="35"/>
  <c r="V37" i="35"/>
  <c r="W21" i="35"/>
  <c r="X21" i="35"/>
  <c r="Y21" i="35"/>
  <c r="V21" i="35"/>
  <c r="U6" i="35"/>
  <c r="V6" i="35"/>
  <c r="W6" i="35"/>
  <c r="X6" i="35"/>
  <c r="Y6" i="35"/>
  <c r="T6" i="35"/>
  <c r="O52" i="35" l="1"/>
  <c r="M52" i="35"/>
  <c r="K52" i="35"/>
  <c r="I52" i="35"/>
  <c r="G52" i="35"/>
  <c r="E52" i="35"/>
  <c r="O73" i="35"/>
  <c r="M73" i="35"/>
  <c r="K73" i="35"/>
  <c r="I73" i="35"/>
  <c r="G73" i="35"/>
  <c r="E73" i="35"/>
  <c r="G54" i="35"/>
  <c r="G55" i="35"/>
  <c r="I55" i="35"/>
  <c r="K55" i="35"/>
  <c r="M55" i="35"/>
  <c r="O55" i="35"/>
  <c r="G56" i="35"/>
  <c r="G57" i="35"/>
  <c r="G58" i="35"/>
  <c r="G59" i="35"/>
  <c r="G60" i="35"/>
  <c r="G61" i="35"/>
  <c r="G63" i="35"/>
  <c r="G65" i="35"/>
  <c r="I65" i="35"/>
  <c r="K65" i="35"/>
  <c r="M65" i="35"/>
  <c r="O65" i="35"/>
  <c r="G66" i="35"/>
  <c r="I66" i="35"/>
  <c r="K66" i="35"/>
  <c r="M66" i="35"/>
  <c r="O66" i="35"/>
  <c r="G67" i="35"/>
  <c r="G69" i="35"/>
  <c r="G70" i="35"/>
  <c r="I70" i="35"/>
  <c r="K70" i="35"/>
  <c r="M70" i="35"/>
  <c r="O70" i="35"/>
  <c r="G71" i="35"/>
  <c r="G53" i="35"/>
  <c r="G49" i="35"/>
  <c r="I49" i="35"/>
  <c r="K49" i="35"/>
  <c r="M49" i="35"/>
  <c r="O49" i="35"/>
  <c r="E49" i="35"/>
  <c r="E70" i="35"/>
  <c r="E71" i="35"/>
  <c r="E54" i="35"/>
  <c r="E55" i="35"/>
  <c r="E57" i="35"/>
  <c r="E58" i="35"/>
  <c r="E59" i="35"/>
  <c r="E60" i="35"/>
  <c r="E61" i="35"/>
  <c r="E63" i="35"/>
  <c r="E65" i="35"/>
  <c r="E66" i="35"/>
  <c r="E67" i="35"/>
  <c r="E69" i="35"/>
  <c r="E53" i="35"/>
  <c r="E39" i="35"/>
  <c r="F39" i="35"/>
  <c r="G39" i="35"/>
  <c r="H39" i="35"/>
  <c r="E40" i="35"/>
  <c r="F40" i="35"/>
  <c r="G40" i="35"/>
  <c r="H40" i="35"/>
  <c r="E41" i="35"/>
  <c r="F41" i="35"/>
  <c r="G41" i="35"/>
  <c r="H41" i="35"/>
  <c r="E42" i="35"/>
  <c r="F42" i="35"/>
  <c r="G42" i="35"/>
  <c r="H42" i="35"/>
  <c r="E43" i="35"/>
  <c r="F43" i="35"/>
  <c r="G43" i="35"/>
  <c r="H43" i="35"/>
  <c r="E35" i="35"/>
  <c r="F35" i="35"/>
  <c r="G35" i="35"/>
  <c r="H35" i="35"/>
  <c r="E36" i="35"/>
  <c r="F36" i="35"/>
  <c r="G36" i="35"/>
  <c r="H36" i="35"/>
  <c r="F33" i="35"/>
  <c r="G33" i="35"/>
  <c r="H33" i="35"/>
  <c r="E33" i="35"/>
  <c r="F32" i="35"/>
  <c r="G32" i="35"/>
  <c r="H32" i="35"/>
  <c r="E32" i="35"/>
  <c r="D40" i="35"/>
  <c r="D41" i="35"/>
  <c r="D39" i="35"/>
  <c r="D36" i="35"/>
  <c r="F28" i="35"/>
  <c r="G28" i="35"/>
  <c r="H28" i="35"/>
  <c r="E28" i="35"/>
  <c r="F24" i="35"/>
  <c r="G24" i="35"/>
  <c r="H24" i="35"/>
  <c r="E24" i="35"/>
  <c r="F23" i="35"/>
  <c r="G23" i="35"/>
  <c r="H23" i="35"/>
  <c r="E23" i="35"/>
  <c r="F22" i="35"/>
  <c r="G22" i="35"/>
  <c r="H22" i="35"/>
  <c r="E22" i="35"/>
  <c r="F21" i="35"/>
  <c r="G21" i="35"/>
  <c r="H21" i="35"/>
  <c r="E21" i="35"/>
  <c r="F20" i="35"/>
  <c r="G20" i="35"/>
  <c r="H20" i="35"/>
  <c r="E20" i="35"/>
  <c r="F19" i="35"/>
  <c r="G19" i="35"/>
  <c r="H19" i="35"/>
  <c r="E19" i="35"/>
  <c r="F18" i="35"/>
  <c r="G18" i="35"/>
  <c r="H18" i="35"/>
  <c r="E18" i="35"/>
  <c r="F17" i="35"/>
  <c r="G17" i="35"/>
  <c r="H17" i="35"/>
  <c r="E17" i="35"/>
  <c r="F16" i="35"/>
  <c r="G16" i="35"/>
  <c r="H16" i="35"/>
  <c r="E16" i="35"/>
  <c r="F15" i="35"/>
  <c r="G15" i="35"/>
  <c r="H15" i="35"/>
  <c r="E15" i="35"/>
  <c r="F14" i="35"/>
  <c r="G14" i="35"/>
  <c r="H14" i="35"/>
  <c r="E14" i="35"/>
  <c r="F13" i="35"/>
  <c r="G13" i="35"/>
  <c r="H13" i="35"/>
  <c r="E13" i="35"/>
  <c r="F12" i="35"/>
  <c r="G12" i="35"/>
  <c r="H12" i="35"/>
  <c r="E12" i="35"/>
  <c r="F6" i="35"/>
  <c r="G6" i="35"/>
  <c r="H6" i="35"/>
  <c r="E6" i="35"/>
  <c r="F11" i="35"/>
  <c r="G11" i="35"/>
  <c r="H11" i="35"/>
  <c r="E11" i="35"/>
  <c r="F10" i="35"/>
  <c r="G10" i="35"/>
  <c r="H10" i="35"/>
  <c r="E10" i="35"/>
  <c r="F9" i="35"/>
  <c r="G9" i="35"/>
  <c r="H9" i="35"/>
  <c r="E9" i="35"/>
  <c r="F8" i="35"/>
  <c r="G8" i="35"/>
  <c r="H8" i="35"/>
  <c r="E8" i="35"/>
  <c r="E7" i="35"/>
  <c r="I43" i="35" l="1"/>
  <c r="I20" i="35"/>
  <c r="I23" i="35"/>
  <c r="I33" i="35"/>
  <c r="E25" i="35"/>
  <c r="I22" i="35"/>
  <c r="I24" i="35"/>
  <c r="I32" i="35"/>
  <c r="I36" i="35"/>
  <c r="I42" i="35"/>
  <c r="I40" i="35"/>
  <c r="G25" i="35"/>
  <c r="I41" i="35"/>
  <c r="H25" i="35"/>
  <c r="I12" i="35"/>
  <c r="I14" i="35"/>
  <c r="I16" i="35"/>
  <c r="I18" i="35"/>
  <c r="I35" i="35"/>
  <c r="I39" i="35"/>
  <c r="I8" i="35"/>
  <c r="I10" i="35"/>
  <c r="F25" i="35"/>
  <c r="I25" i="35" l="1"/>
  <c r="G32" i="9" l="1"/>
  <c r="J32" i="9" s="1"/>
  <c r="G35" i="9"/>
  <c r="J35" i="9" s="1"/>
  <c r="N35" i="9" s="1"/>
  <c r="G34" i="9"/>
  <c r="J34" i="9" s="1"/>
  <c r="N34" i="9" s="1"/>
  <c r="G33" i="9"/>
  <c r="J33" i="9" s="1"/>
  <c r="G31" i="9"/>
  <c r="G30" i="9"/>
  <c r="J30" i="9" s="1"/>
  <c r="G29" i="9"/>
  <c r="G6" i="11"/>
  <c r="I33" i="9" l="1"/>
  <c r="N33" i="9"/>
  <c r="I30" i="9"/>
  <c r="N30" i="9"/>
  <c r="I32" i="9"/>
  <c r="N32" i="9"/>
  <c r="I34" i="9"/>
  <c r="L34" i="9"/>
  <c r="M34" i="9" s="1"/>
  <c r="I35" i="9"/>
  <c r="L35" i="9"/>
  <c r="M35" i="9" s="1"/>
  <c r="L33" i="9"/>
  <c r="M33" i="9" s="1"/>
  <c r="L30" i="9"/>
  <c r="M30" i="9" s="1"/>
  <c r="L32" i="9"/>
  <c r="M32" i="9" s="1"/>
  <c r="G36" i="9"/>
  <c r="J31" i="9"/>
  <c r="N31" i="9" s="1"/>
  <c r="J29" i="9"/>
  <c r="N29" i="9" s="1"/>
  <c r="I31" i="9" l="1"/>
  <c r="L31" i="9"/>
  <c r="M31" i="9" s="1"/>
  <c r="I29" i="9"/>
  <c r="J36" i="9"/>
  <c r="L29" i="9"/>
  <c r="I36" i="9" l="1"/>
  <c r="M29" i="9"/>
  <c r="M36" i="9" s="1"/>
  <c r="L36" i="9"/>
  <c r="U108" i="17"/>
  <c r="G108" i="17" s="1"/>
  <c r="U107" i="17"/>
  <c r="G107" i="17" s="1"/>
  <c r="G98" i="17"/>
  <c r="I37" i="9" l="1"/>
  <c r="R74" i="17" l="1"/>
  <c r="Q74" i="17"/>
  <c r="P74" i="17"/>
  <c r="O74" i="17"/>
  <c r="N74" i="17"/>
  <c r="L74" i="17"/>
  <c r="K74" i="17"/>
  <c r="J74" i="17"/>
  <c r="I74" i="17"/>
  <c r="H74" i="17"/>
  <c r="G74" i="17"/>
  <c r="AI61" i="28" l="1"/>
  <c r="AI60" i="28"/>
  <c r="AI59" i="28"/>
  <c r="AI58" i="28"/>
  <c r="AK59" i="28"/>
  <c r="AI62" i="28"/>
  <c r="AC58" i="28"/>
  <c r="AN62" i="28"/>
  <c r="AM62" i="28"/>
  <c r="AJ62" i="28"/>
  <c r="AM61" i="28"/>
  <c r="AK61" i="28"/>
  <c r="AM60" i="28"/>
  <c r="AK60" i="28"/>
  <c r="AM59" i="28"/>
  <c r="AM58" i="28"/>
  <c r="AK58" i="28"/>
  <c r="AE59" i="28"/>
  <c r="AE58" i="28"/>
  <c r="AE60" i="28"/>
  <c r="AI55" i="28"/>
  <c r="AI37" i="28"/>
  <c r="AN18" i="28"/>
  <c r="AJ18" i="28"/>
  <c r="AI18" i="28"/>
  <c r="AK62" i="28" l="1"/>
  <c r="AC60" i="28" l="1"/>
  <c r="AC59" i="28"/>
  <c r="W58" i="28"/>
  <c r="Y59" i="28"/>
  <c r="Y58" i="28"/>
  <c r="Z61" i="28"/>
  <c r="Z60" i="28"/>
  <c r="T59" i="28"/>
  <c r="W59" i="28"/>
  <c r="T61" i="28"/>
  <c r="T60" i="28"/>
  <c r="S58" i="28"/>
  <c r="S60" i="28"/>
  <c r="S61" i="28"/>
  <c r="Q61" i="28"/>
  <c r="Q60" i="28"/>
  <c r="Q58" i="28"/>
  <c r="AH62" i="28"/>
  <c r="AD62" i="28"/>
  <c r="AB62" i="28"/>
  <c r="X62" i="28"/>
  <c r="V62" i="28"/>
  <c r="R62" i="28"/>
  <c r="P62" i="28"/>
  <c r="L62" i="28"/>
  <c r="N61" i="28"/>
  <c r="N60" i="28"/>
  <c r="N59" i="28"/>
  <c r="K46" i="28"/>
  <c r="G4" i="29"/>
  <c r="F4" i="29"/>
  <c r="E4" i="29"/>
  <c r="D4" i="29"/>
  <c r="P45" i="20" l="1"/>
  <c r="L43" i="20"/>
  <c r="AJ69" i="35" s="1"/>
  <c r="D52" i="28"/>
  <c r="E52" i="28"/>
  <c r="D49" i="28"/>
  <c r="E49" i="28"/>
  <c r="D46" i="28"/>
  <c r="E46" i="28"/>
  <c r="M46" i="28" s="1"/>
  <c r="K43" i="20" s="1"/>
  <c r="AI69" i="35" s="1"/>
  <c r="D43" i="28"/>
  <c r="E43" i="28"/>
  <c r="M43" i="28" s="1"/>
  <c r="M58" i="28" s="1"/>
  <c r="M62" i="28" s="1"/>
  <c r="C52" i="28"/>
  <c r="C49" i="28"/>
  <c r="C46" i="28"/>
  <c r="C43" i="28"/>
  <c r="D39" i="28"/>
  <c r="E39" i="28"/>
  <c r="K34" i="28"/>
  <c r="Q34" i="28"/>
  <c r="M32" i="28"/>
  <c r="K32" i="28"/>
  <c r="O32" i="28" s="1"/>
  <c r="M31" i="28"/>
  <c r="K31" i="28"/>
  <c r="M30" i="28"/>
  <c r="K30" i="28"/>
  <c r="M28" i="28"/>
  <c r="K28" i="28"/>
  <c r="M27" i="28"/>
  <c r="K27" i="28"/>
  <c r="M26" i="28"/>
  <c r="K26" i="28"/>
  <c r="AG29" i="28"/>
  <c r="AE36" i="28"/>
  <c r="AE35" i="28"/>
  <c r="AE34" i="28"/>
  <c r="AC32" i="28"/>
  <c r="AC31" i="28"/>
  <c r="AC30" i="28"/>
  <c r="AC28" i="28"/>
  <c r="AC27" i="28"/>
  <c r="AC26" i="28"/>
  <c r="AC24" i="28"/>
  <c r="AC23" i="28"/>
  <c r="AC22" i="28"/>
  <c r="AD18" i="28"/>
  <c r="AC18" i="28"/>
  <c r="AC7" i="28"/>
  <c r="Y30" i="28"/>
  <c r="Y31" i="28"/>
  <c r="Y32" i="28"/>
  <c r="Y34" i="28"/>
  <c r="Y35" i="28"/>
  <c r="Y36" i="28"/>
  <c r="W35" i="28"/>
  <c r="W36" i="28"/>
  <c r="W34" i="28"/>
  <c r="W27" i="28"/>
  <c r="W28" i="28"/>
  <c r="W26" i="28"/>
  <c r="W23" i="28"/>
  <c r="W24" i="28"/>
  <c r="W22" i="28"/>
  <c r="X18" i="28"/>
  <c r="W18" i="28"/>
  <c r="W7" i="28"/>
  <c r="S35" i="28"/>
  <c r="S36" i="28"/>
  <c r="S34" i="28"/>
  <c r="S31" i="28"/>
  <c r="S32" i="28"/>
  <c r="S30" i="28"/>
  <c r="S27" i="28"/>
  <c r="S28" i="28"/>
  <c r="S26" i="28"/>
  <c r="Q36" i="28"/>
  <c r="Q35" i="28"/>
  <c r="Q31" i="28"/>
  <c r="Q32" i="28"/>
  <c r="Q30" i="28"/>
  <c r="Q23" i="28"/>
  <c r="Q24" i="28"/>
  <c r="Q22" i="28"/>
  <c r="M36" i="28"/>
  <c r="M35" i="28"/>
  <c r="M34" i="28"/>
  <c r="N34" i="28" s="1"/>
  <c r="K18" i="28"/>
  <c r="K35" i="28"/>
  <c r="K36" i="28"/>
  <c r="N26" i="28" l="1"/>
  <c r="O36" i="28"/>
  <c r="T36" i="28" s="1"/>
  <c r="AC52" i="28"/>
  <c r="AC61" i="28" s="1"/>
  <c r="AN71" i="35"/>
  <c r="AN49" i="28"/>
  <c r="AK49" i="28"/>
  <c r="H42" i="20"/>
  <c r="AF68" i="35" s="1"/>
  <c r="O27" i="28"/>
  <c r="AK52" i="28"/>
  <c r="AN52" i="28"/>
  <c r="O30" i="28"/>
  <c r="U30" i="28" s="1"/>
  <c r="AE61" i="28"/>
  <c r="AE62" i="28" s="1"/>
  <c r="AC62" i="28"/>
  <c r="O35" i="28"/>
  <c r="T35" i="28" s="1"/>
  <c r="AN43" i="28"/>
  <c r="AK43" i="28"/>
  <c r="O34" i="28"/>
  <c r="U34" i="28" s="1"/>
  <c r="N31" i="28"/>
  <c r="AK39" i="28"/>
  <c r="AN39" i="28"/>
  <c r="AN42" i="28" s="1"/>
  <c r="AK46" i="28"/>
  <c r="AN46" i="28"/>
  <c r="Q45" i="20"/>
  <c r="AO71" i="35" s="1"/>
  <c r="T34" i="28"/>
  <c r="AH52" i="28"/>
  <c r="R45" i="20" s="1"/>
  <c r="AP71" i="35" s="1"/>
  <c r="AE52" i="28"/>
  <c r="O28" i="28"/>
  <c r="Y43" i="28"/>
  <c r="S43" i="28"/>
  <c r="S57" i="28" s="1"/>
  <c r="P43" i="28"/>
  <c r="AH43" i="28"/>
  <c r="V43" i="28"/>
  <c r="AE43" i="28"/>
  <c r="AB43" i="28"/>
  <c r="O31" i="28"/>
  <c r="U31" i="28" s="1"/>
  <c r="AH39" i="28"/>
  <c r="V39" i="28"/>
  <c r="AE39" i="28"/>
  <c r="S39" i="28"/>
  <c r="N57" i="28" s="1"/>
  <c r="Y39" i="28"/>
  <c r="P39" i="28"/>
  <c r="AB39" i="28"/>
  <c r="V46" i="28"/>
  <c r="AH46" i="28"/>
  <c r="R43" i="20" s="1"/>
  <c r="AP69" i="35" s="1"/>
  <c r="AB46" i="28"/>
  <c r="O43" i="20" s="1"/>
  <c r="AM69" i="35" s="1"/>
  <c r="S46" i="28"/>
  <c r="AE46" i="28"/>
  <c r="Y46" i="28"/>
  <c r="N43" i="20" s="1"/>
  <c r="AL69" i="35" s="1"/>
  <c r="N35" i="28"/>
  <c r="N36" i="28"/>
  <c r="U36" i="28"/>
  <c r="AB49" i="28"/>
  <c r="O44" i="20" s="1"/>
  <c r="AM70" i="35" s="1"/>
  <c r="AE49" i="28"/>
  <c r="Y49" i="28"/>
  <c r="N44" i="20" s="1"/>
  <c r="AL70" i="35" s="1"/>
  <c r="AH49" i="28"/>
  <c r="R44" i="20" s="1"/>
  <c r="AP70" i="35" s="1"/>
  <c r="M55" i="28"/>
  <c r="N27" i="28"/>
  <c r="Y52" i="28"/>
  <c r="AB52" i="28"/>
  <c r="AG52" i="28"/>
  <c r="AC55" i="28"/>
  <c r="U32" i="28"/>
  <c r="T32" i="28"/>
  <c r="N30" i="28"/>
  <c r="O26" i="28"/>
  <c r="T31" i="28"/>
  <c r="N28" i="28"/>
  <c r="N32" i="28"/>
  <c r="U35" i="28" l="1"/>
  <c r="AM52" i="28"/>
  <c r="AG61" i="28" s="1"/>
  <c r="AA34" i="28"/>
  <c r="Z34" i="28"/>
  <c r="AL61" i="28"/>
  <c r="AA61" i="28"/>
  <c r="AH55" i="28"/>
  <c r="L80" i="15"/>
  <c r="AF57" i="28"/>
  <c r="AM39" i="28"/>
  <c r="AK42" i="28"/>
  <c r="AN55" i="28"/>
  <c r="T30" i="28"/>
  <c r="AK55" i="28"/>
  <c r="AE55" i="28"/>
  <c r="K80" i="15"/>
  <c r="Z57" i="28"/>
  <c r="J80" i="15"/>
  <c r="T57" i="28"/>
  <c r="AB42" i="28"/>
  <c r="O20" i="20"/>
  <c r="AM40" i="35" s="1"/>
  <c r="AB55" i="28"/>
  <c r="O42" i="20"/>
  <c r="AM68" i="35" s="1"/>
  <c r="U39" i="28"/>
  <c r="O57" i="28" s="1"/>
  <c r="O62" i="28" s="1"/>
  <c r="S42" i="28"/>
  <c r="I80" i="15" s="1"/>
  <c r="J20" i="20"/>
  <c r="AH40" i="35" s="1"/>
  <c r="Q42" i="20"/>
  <c r="AO68" i="35" s="1"/>
  <c r="AG39" i="28"/>
  <c r="AA57" i="28" s="1"/>
  <c r="AE42" i="28"/>
  <c r="P20" i="20"/>
  <c r="AN40" i="35" s="1"/>
  <c r="V55" i="28"/>
  <c r="L42" i="20"/>
  <c r="AJ68" i="35" s="1"/>
  <c r="P42" i="28"/>
  <c r="I20" i="20"/>
  <c r="AG40" i="35" s="1"/>
  <c r="AA39" i="28"/>
  <c r="U57" i="28" s="1"/>
  <c r="Y42" i="28"/>
  <c r="M20" i="20"/>
  <c r="AK40" i="35" s="1"/>
  <c r="Z36" i="28"/>
  <c r="AA36" i="28"/>
  <c r="V42" i="28"/>
  <c r="L20" i="20"/>
  <c r="AJ40" i="35" s="1"/>
  <c r="AH42" i="28"/>
  <c r="R20" i="20"/>
  <c r="AP40" i="35" s="1"/>
  <c r="P55" i="28"/>
  <c r="I42" i="20"/>
  <c r="AG68" i="35" s="1"/>
  <c r="Y55" i="28"/>
  <c r="N42" i="20"/>
  <c r="AL68" i="35" s="1"/>
  <c r="R42" i="20"/>
  <c r="AP68" i="35" s="1"/>
  <c r="S55" i="28"/>
  <c r="K42" i="20"/>
  <c r="AI68" i="35" s="1"/>
  <c r="AA35" i="28"/>
  <c r="Z35" i="28"/>
  <c r="AG57" i="28" l="1"/>
  <c r="AM42" i="28"/>
  <c r="AA42" i="28"/>
  <c r="AF58" i="28" s="1"/>
  <c r="U42" i="28"/>
  <c r="Z58" i="28" s="1"/>
  <c r="AG42" i="28"/>
  <c r="AL58" i="28" s="1"/>
  <c r="Q7" i="28" l="1"/>
  <c r="R18" i="28"/>
  <c r="Q18" i="28"/>
  <c r="M23" i="28"/>
  <c r="M24" i="28"/>
  <c r="M22" i="28"/>
  <c r="L24" i="28"/>
  <c r="G18" i="28"/>
  <c r="H18" i="28"/>
  <c r="I18" i="28"/>
  <c r="J18" i="28"/>
  <c r="L18" i="28"/>
  <c r="F18" i="28"/>
  <c r="O12" i="28"/>
  <c r="M11" i="28"/>
  <c r="M12" i="28"/>
  <c r="M13" i="28"/>
  <c r="M14" i="28"/>
  <c r="M15" i="28"/>
  <c r="M16" i="28"/>
  <c r="M17" i="28"/>
  <c r="D22" i="28"/>
  <c r="E22" i="28"/>
  <c r="D23" i="28"/>
  <c r="E23" i="28"/>
  <c r="D24" i="28"/>
  <c r="AK24" i="28" s="1"/>
  <c r="E24" i="28"/>
  <c r="D26" i="28"/>
  <c r="E26" i="28"/>
  <c r="D27" i="28"/>
  <c r="E27" i="28"/>
  <c r="P27" i="28" s="1"/>
  <c r="D28" i="28"/>
  <c r="E28" i="28"/>
  <c r="P28" i="28" s="1"/>
  <c r="D30" i="28"/>
  <c r="E30" i="28"/>
  <c r="D31" i="28"/>
  <c r="E31" i="28"/>
  <c r="D32" i="28"/>
  <c r="E32" i="28"/>
  <c r="D34" i="28"/>
  <c r="E34" i="28"/>
  <c r="D35" i="28"/>
  <c r="E35" i="28"/>
  <c r="D36" i="28"/>
  <c r="E36" i="28"/>
  <c r="C36" i="28"/>
  <c r="C35" i="28"/>
  <c r="C34" i="28"/>
  <c r="C32" i="28"/>
  <c r="C31" i="28"/>
  <c r="C30" i="28"/>
  <c r="C28" i="28"/>
  <c r="C27" i="28"/>
  <c r="C26" i="28"/>
  <c r="C24" i="28"/>
  <c r="C23" i="28"/>
  <c r="C22" i="28"/>
  <c r="K7" i="28"/>
  <c r="B25" i="28"/>
  <c r="B26" i="28"/>
  <c r="B27" i="28"/>
  <c r="B28" i="28"/>
  <c r="B29" i="28"/>
  <c r="B30" i="28"/>
  <c r="B31" i="28"/>
  <c r="B32" i="28"/>
  <c r="B33" i="28"/>
  <c r="B34" i="28"/>
  <c r="B35" i="28"/>
  <c r="B36" i="28"/>
  <c r="B37" i="28"/>
  <c r="B21" i="28"/>
  <c r="B22" i="28"/>
  <c r="B23" i="28"/>
  <c r="B24" i="28"/>
  <c r="B20" i="28"/>
  <c r="B19" i="28"/>
  <c r="C11" i="28"/>
  <c r="O11" i="28" s="1"/>
  <c r="D11" i="28"/>
  <c r="AK11" i="28" s="1"/>
  <c r="E11" i="28"/>
  <c r="C12" i="28"/>
  <c r="D12" i="28"/>
  <c r="AK12" i="28" s="1"/>
  <c r="E12" i="28"/>
  <c r="C13" i="28"/>
  <c r="O13" i="28" s="1"/>
  <c r="D13" i="28"/>
  <c r="AK13" i="28" s="1"/>
  <c r="E13" i="28"/>
  <c r="C14" i="28"/>
  <c r="O14" i="28" s="1"/>
  <c r="D14" i="28"/>
  <c r="AK14" i="28" s="1"/>
  <c r="E14" i="28"/>
  <c r="C15" i="28"/>
  <c r="O15" i="28" s="1"/>
  <c r="D15" i="28"/>
  <c r="AK15" i="28" s="1"/>
  <c r="E15" i="28"/>
  <c r="C16" i="28"/>
  <c r="O16" i="28" s="1"/>
  <c r="D16" i="28"/>
  <c r="AK16" i="28" s="1"/>
  <c r="E16" i="28"/>
  <c r="C17" i="28"/>
  <c r="O17" i="28" s="1"/>
  <c r="D17" i="28"/>
  <c r="AK17" i="28" s="1"/>
  <c r="E17" i="28"/>
  <c r="E10" i="28"/>
  <c r="D10" i="28"/>
  <c r="C10" i="28"/>
  <c r="O10" i="28" s="1"/>
  <c r="B8" i="28"/>
  <c r="E8" i="28"/>
  <c r="E19" i="28" s="1"/>
  <c r="E38" i="28" s="1"/>
  <c r="D8" i="28"/>
  <c r="D19" i="28" s="1"/>
  <c r="D38" i="28" s="1"/>
  <c r="C8" i="28"/>
  <c r="C19" i="28" s="1"/>
  <c r="C38" i="28" s="1"/>
  <c r="B11" i="28"/>
  <c r="B12" i="28"/>
  <c r="B13" i="28"/>
  <c r="B14" i="28"/>
  <c r="B15" i="28"/>
  <c r="B16" i="28"/>
  <c r="B17" i="28"/>
  <c r="B10" i="28"/>
  <c r="D59" i="27"/>
  <c r="C59" i="27"/>
  <c r="B59" i="27"/>
  <c r="C54" i="27"/>
  <c r="B54" i="27"/>
  <c r="D52" i="27"/>
  <c r="C52" i="27"/>
  <c r="B52" i="27"/>
  <c r="D50" i="27"/>
  <c r="C50" i="27"/>
  <c r="B50" i="27"/>
  <c r="F48" i="27"/>
  <c r="F49" i="27" s="1"/>
  <c r="G48" i="27"/>
  <c r="G49" i="27" s="1"/>
  <c r="H48" i="27"/>
  <c r="I48" i="27"/>
  <c r="I49" i="27" s="1"/>
  <c r="J48" i="27"/>
  <c r="K48" i="27"/>
  <c r="L48" i="27"/>
  <c r="M48" i="27"/>
  <c r="N48" i="27"/>
  <c r="N49" i="27" s="1"/>
  <c r="O48" i="27"/>
  <c r="O49" i="27" s="1"/>
  <c r="P48" i="27"/>
  <c r="E48" i="27"/>
  <c r="D48" i="27"/>
  <c r="C48" i="27"/>
  <c r="B48" i="27"/>
  <c r="F44" i="27"/>
  <c r="G44" i="27"/>
  <c r="H44" i="27"/>
  <c r="I44" i="27"/>
  <c r="J44" i="27"/>
  <c r="K44" i="27"/>
  <c r="L44" i="27"/>
  <c r="M44" i="27"/>
  <c r="N44" i="27"/>
  <c r="O44" i="27"/>
  <c r="P44" i="27"/>
  <c r="E44" i="27"/>
  <c r="D46" i="27"/>
  <c r="D44" i="27"/>
  <c r="C46" i="27"/>
  <c r="C44" i="27"/>
  <c r="B46" i="27"/>
  <c r="B44" i="27"/>
  <c r="D42" i="27"/>
  <c r="C42" i="27"/>
  <c r="B42" i="27"/>
  <c r="Q34" i="27"/>
  <c r="E34" i="27"/>
  <c r="D34" i="27"/>
  <c r="D39" i="27"/>
  <c r="D37" i="27"/>
  <c r="D35" i="27"/>
  <c r="C39" i="27"/>
  <c r="B39" i="27"/>
  <c r="C37" i="27"/>
  <c r="B37" i="27"/>
  <c r="C35" i="27"/>
  <c r="B35" i="27"/>
  <c r="D30" i="27"/>
  <c r="B30" i="27"/>
  <c r="C30" i="27"/>
  <c r="N10" i="28" l="1"/>
  <c r="E30" i="37"/>
  <c r="M49" i="27"/>
  <c r="K49" i="27"/>
  <c r="J49" i="27"/>
  <c r="N12" i="28"/>
  <c r="N17" i="28"/>
  <c r="C37" i="28"/>
  <c r="M18" i="28"/>
  <c r="L28" i="28"/>
  <c r="R28" i="28" s="1"/>
  <c r="X28" i="28" s="1"/>
  <c r="AD28" i="28" s="1"/>
  <c r="AJ28" i="28" s="1"/>
  <c r="AK28" i="28"/>
  <c r="L27" i="28"/>
  <c r="R27" i="28" s="1"/>
  <c r="X27" i="28" s="1"/>
  <c r="AD27" i="28" s="1"/>
  <c r="AJ27" i="28" s="1"/>
  <c r="AK27" i="28"/>
  <c r="L36" i="28"/>
  <c r="R36" i="28" s="1"/>
  <c r="X36" i="28" s="1"/>
  <c r="AD36" i="28" s="1"/>
  <c r="AJ36" i="28" s="1"/>
  <c r="AK36" i="28"/>
  <c r="L31" i="28"/>
  <c r="R31" i="28" s="1"/>
  <c r="X31" i="28" s="1"/>
  <c r="AD31" i="28" s="1"/>
  <c r="AJ31" i="28" s="1"/>
  <c r="AK31" i="28"/>
  <c r="L26" i="28"/>
  <c r="R26" i="28" s="1"/>
  <c r="X26" i="28" s="1"/>
  <c r="AD26" i="28" s="1"/>
  <c r="AJ26" i="28" s="1"/>
  <c r="AK26" i="28"/>
  <c r="L23" i="28"/>
  <c r="AK23" i="28"/>
  <c r="L22" i="28"/>
  <c r="L35" i="28"/>
  <c r="R35" i="28" s="1"/>
  <c r="X35" i="28" s="1"/>
  <c r="AD35" i="28" s="1"/>
  <c r="AJ35" i="28" s="1"/>
  <c r="AK35" i="28"/>
  <c r="L30" i="28"/>
  <c r="R30" i="28" s="1"/>
  <c r="X30" i="28" s="1"/>
  <c r="AD30" i="28" s="1"/>
  <c r="AJ30" i="28" s="1"/>
  <c r="AK30" i="28"/>
  <c r="L34" i="28"/>
  <c r="R34" i="28" s="1"/>
  <c r="X34" i="28" s="1"/>
  <c r="AD34" i="28" s="1"/>
  <c r="AJ34" i="28" s="1"/>
  <c r="AK34" i="28"/>
  <c r="L32" i="28"/>
  <c r="R32" i="28" s="1"/>
  <c r="X32" i="28" s="1"/>
  <c r="AD32" i="28" s="1"/>
  <c r="AJ32" i="28" s="1"/>
  <c r="AK32" i="28"/>
  <c r="M37" i="28"/>
  <c r="N45" i="27"/>
  <c r="M45" i="27"/>
  <c r="P49" i="27"/>
  <c r="H49" i="27"/>
  <c r="F45" i="27"/>
  <c r="L45" i="27"/>
  <c r="K45" i="27"/>
  <c r="J45" i="27"/>
  <c r="Q44" i="27"/>
  <c r="I45" i="27"/>
  <c r="L49" i="27"/>
  <c r="P45" i="27"/>
  <c r="H45" i="27"/>
  <c r="O45" i="27"/>
  <c r="G45" i="27"/>
  <c r="E45" i="27"/>
  <c r="E49" i="27"/>
  <c r="Q48" i="27"/>
  <c r="N11" i="28"/>
  <c r="N15" i="28"/>
  <c r="N14" i="28"/>
  <c r="N16" i="28"/>
  <c r="P34" i="28"/>
  <c r="V34" i="28"/>
  <c r="AB34" i="28"/>
  <c r="N13" i="28"/>
  <c r="C18" i="28"/>
  <c r="V32" i="28"/>
  <c r="P32" i="28"/>
  <c r="P36" i="28"/>
  <c r="V36" i="28"/>
  <c r="AB36" i="28"/>
  <c r="P31" i="28"/>
  <c r="V31" i="28"/>
  <c r="P26" i="28"/>
  <c r="AB35" i="28"/>
  <c r="P35" i="28"/>
  <c r="V35" i="28"/>
  <c r="P30" i="28"/>
  <c r="V30" i="28"/>
  <c r="L37" i="28" l="1"/>
  <c r="Q45" i="27"/>
  <c r="Q49" i="27"/>
  <c r="N18" i="28"/>
  <c r="O18" i="28"/>
  <c r="F19" i="27" l="1"/>
  <c r="G19" i="27"/>
  <c r="H19" i="27"/>
  <c r="I19" i="27"/>
  <c r="J19" i="27"/>
  <c r="K19" i="27"/>
  <c r="L19" i="27"/>
  <c r="M19" i="27"/>
  <c r="N19" i="27"/>
  <c r="O19" i="27"/>
  <c r="P19" i="27"/>
  <c r="C25" i="27"/>
  <c r="B25" i="27"/>
  <c r="D23" i="27"/>
  <c r="D21" i="27"/>
  <c r="D19" i="27"/>
  <c r="C23" i="27"/>
  <c r="B23" i="27"/>
  <c r="C21" i="27"/>
  <c r="B21" i="27"/>
  <c r="C19" i="27"/>
  <c r="B19" i="27"/>
  <c r="F15" i="27"/>
  <c r="G15" i="27"/>
  <c r="H15" i="27"/>
  <c r="I15" i="27"/>
  <c r="J15" i="27"/>
  <c r="K15" i="27"/>
  <c r="L15" i="27"/>
  <c r="M15" i="27"/>
  <c r="N15" i="27"/>
  <c r="O15" i="27"/>
  <c r="P15" i="27"/>
  <c r="E15" i="27"/>
  <c r="D15" i="27"/>
  <c r="C15" i="27"/>
  <c r="D17" i="27"/>
  <c r="C17" i="27"/>
  <c r="B17" i="27"/>
  <c r="B15" i="27"/>
  <c r="D13" i="27"/>
  <c r="C13" i="27"/>
  <c r="B13" i="27"/>
  <c r="D10" i="27"/>
  <c r="D8" i="27"/>
  <c r="D6" i="27"/>
  <c r="Q5" i="27"/>
  <c r="E5" i="27"/>
  <c r="D5" i="27"/>
  <c r="B10" i="27"/>
  <c r="C10" i="27"/>
  <c r="C8" i="27"/>
  <c r="B8" i="27"/>
  <c r="C6" i="27"/>
  <c r="B6" i="27"/>
  <c r="E73" i="24"/>
  <c r="F73" i="24"/>
  <c r="G73" i="24"/>
  <c r="D74" i="24"/>
  <c r="D73" i="24"/>
  <c r="E51" i="24"/>
  <c r="F51" i="24"/>
  <c r="G51" i="24"/>
  <c r="D52" i="24"/>
  <c r="D51" i="24"/>
  <c r="E29" i="24"/>
  <c r="F29" i="24"/>
  <c r="G29" i="24"/>
  <c r="D30" i="24"/>
  <c r="D29" i="24"/>
  <c r="E24" i="24"/>
  <c r="F24" i="24"/>
  <c r="G24" i="24"/>
  <c r="D24" i="24"/>
  <c r="H26" i="24"/>
  <c r="H25" i="24"/>
  <c r="H22" i="24"/>
  <c r="H21" i="24"/>
  <c r="H20" i="24"/>
  <c r="E23" i="24"/>
  <c r="F23" i="24"/>
  <c r="G23" i="24"/>
  <c r="D23" i="24"/>
  <c r="E18" i="24"/>
  <c r="F18" i="24"/>
  <c r="G18" i="24"/>
  <c r="D19" i="24"/>
  <c r="D18" i="24"/>
  <c r="J16" i="27" l="1"/>
  <c r="J20" i="27"/>
  <c r="M16" i="27"/>
  <c r="L16" i="27"/>
  <c r="G20" i="27"/>
  <c r="K16" i="27"/>
  <c r="F20" i="27"/>
  <c r="I20" i="27"/>
  <c r="P20" i="27"/>
  <c r="H20" i="27"/>
  <c r="N20" i="27"/>
  <c r="M20" i="27"/>
  <c r="O20" i="27"/>
  <c r="L20" i="27"/>
  <c r="F16" i="27"/>
  <c r="K20" i="27"/>
  <c r="I16" i="27"/>
  <c r="P16" i="27"/>
  <c r="H16" i="27"/>
  <c r="G16" i="27"/>
  <c r="E16" i="27"/>
  <c r="N16" i="27"/>
  <c r="Q15" i="27"/>
  <c r="O16" i="27"/>
  <c r="G27" i="24"/>
  <c r="F27" i="24"/>
  <c r="E27" i="24"/>
  <c r="D27" i="24"/>
  <c r="H24" i="24"/>
  <c r="H23" i="24"/>
  <c r="H27" i="24" l="1"/>
  <c r="Q16" i="27"/>
  <c r="C38" i="26" l="1"/>
  <c r="C63" i="26" s="1"/>
  <c r="S108" i="17"/>
  <c r="T108" i="17" s="1"/>
  <c r="G102" i="17"/>
  <c r="S99" i="17"/>
  <c r="S98" i="17"/>
  <c r="S96" i="17"/>
  <c r="S82" i="17"/>
  <c r="S80" i="17"/>
  <c r="G77" i="17"/>
  <c r="H65" i="17"/>
  <c r="D38" i="26" s="1"/>
  <c r="C48" i="26"/>
  <c r="H9" i="17"/>
  <c r="F5" i="27" s="1"/>
  <c r="D48" i="26" l="1"/>
  <c r="D63" i="26"/>
  <c r="R38" i="26"/>
  <c r="H102" i="17"/>
  <c r="F34" i="27"/>
  <c r="I9" i="17"/>
  <c r="Q38" i="26"/>
  <c r="I65" i="17"/>
  <c r="J65" i="17" s="1"/>
  <c r="S107" i="17"/>
  <c r="T107" i="17" s="1"/>
  <c r="H77" i="17"/>
  <c r="G5" i="27" l="1"/>
  <c r="J9" i="17"/>
  <c r="H34" i="27"/>
  <c r="F38" i="26"/>
  <c r="I102" i="17"/>
  <c r="G34" i="27"/>
  <c r="E38" i="26"/>
  <c r="I77" i="17"/>
  <c r="J102" i="17"/>
  <c r="J77" i="17"/>
  <c r="K65" i="17"/>
  <c r="K9" i="17" l="1"/>
  <c r="H5" i="27"/>
  <c r="E48" i="26"/>
  <c r="S38" i="26"/>
  <c r="E63" i="26"/>
  <c r="I34" i="27"/>
  <c r="G38" i="26"/>
  <c r="F48" i="26"/>
  <c r="F63" i="26"/>
  <c r="L65" i="17"/>
  <c r="K102" i="17"/>
  <c r="K77" i="17"/>
  <c r="J34" i="27" l="1"/>
  <c r="H38" i="26"/>
  <c r="G63" i="26"/>
  <c r="G48" i="26"/>
  <c r="L9" i="17"/>
  <c r="I5" i="27"/>
  <c r="M65" i="17"/>
  <c r="L102" i="17"/>
  <c r="L77" i="17"/>
  <c r="M9" i="17" l="1"/>
  <c r="J5" i="27"/>
  <c r="H48" i="26"/>
  <c r="H63" i="26"/>
  <c r="K34" i="27"/>
  <c r="I38" i="26"/>
  <c r="N65" i="17"/>
  <c r="M102" i="17"/>
  <c r="M77" i="17"/>
  <c r="I48" i="26" l="1"/>
  <c r="I63" i="26"/>
  <c r="L34" i="27"/>
  <c r="J38" i="26"/>
  <c r="N9" i="17"/>
  <c r="K5" i="27"/>
  <c r="N102" i="17"/>
  <c r="N77" i="17"/>
  <c r="O65" i="17"/>
  <c r="J48" i="26" l="1"/>
  <c r="J63" i="26"/>
  <c r="M34" i="27"/>
  <c r="K38" i="26"/>
  <c r="O9" i="17"/>
  <c r="L5" i="27"/>
  <c r="O102" i="17"/>
  <c r="O77" i="17"/>
  <c r="P65" i="17"/>
  <c r="N34" i="27" l="1"/>
  <c r="L38" i="26"/>
  <c r="K63" i="26"/>
  <c r="K48" i="26"/>
  <c r="P9" i="17"/>
  <c r="M5" i="27"/>
  <c r="P102" i="17"/>
  <c r="P77" i="17"/>
  <c r="Q65" i="17"/>
  <c r="L63" i="26" l="1"/>
  <c r="L48" i="26"/>
  <c r="O34" i="27"/>
  <c r="M38" i="26"/>
  <c r="Q9" i="17"/>
  <c r="N5" i="27"/>
  <c r="Q102" i="17"/>
  <c r="Q77" i="17"/>
  <c r="R65" i="17"/>
  <c r="M63" i="26" l="1"/>
  <c r="M48" i="26"/>
  <c r="R9" i="17"/>
  <c r="P5" i="27" s="1"/>
  <c r="O5" i="27"/>
  <c r="P34" i="27"/>
  <c r="N38" i="26"/>
  <c r="R102" i="17"/>
  <c r="R77" i="17"/>
  <c r="N63" i="26" l="1"/>
  <c r="N48" i="26"/>
  <c r="C2" i="26" l="1"/>
  <c r="Q2" i="26" s="1"/>
  <c r="D2" i="26"/>
  <c r="E2" i="26"/>
  <c r="F2" i="26"/>
  <c r="G2" i="26"/>
  <c r="H2" i="26"/>
  <c r="I2" i="26"/>
  <c r="J2" i="26"/>
  <c r="K2" i="26"/>
  <c r="L2" i="26"/>
  <c r="M2" i="26"/>
  <c r="N2" i="26"/>
  <c r="F27" i="26" l="1"/>
  <c r="F12" i="26"/>
  <c r="D27" i="26"/>
  <c r="R2" i="26"/>
  <c r="D12" i="26"/>
  <c r="N27" i="26"/>
  <c r="N12" i="26"/>
  <c r="E27" i="26"/>
  <c r="S2" i="26"/>
  <c r="E12" i="26"/>
  <c r="K27" i="26"/>
  <c r="K12" i="26"/>
  <c r="J27" i="26"/>
  <c r="J12" i="26"/>
  <c r="H27" i="26"/>
  <c r="H12" i="26"/>
  <c r="M27" i="26"/>
  <c r="M12" i="26"/>
  <c r="L27" i="26"/>
  <c r="L12" i="26"/>
  <c r="I27" i="26"/>
  <c r="I12" i="26"/>
  <c r="G27" i="26"/>
  <c r="G12" i="26"/>
  <c r="C27" i="26"/>
  <c r="C12" i="26"/>
  <c r="G47" i="19" l="1"/>
  <c r="F83" i="21"/>
  <c r="G83" i="21" s="1"/>
  <c r="H83" i="21" s="1"/>
  <c r="I83" i="21" s="1"/>
  <c r="J83" i="21" s="1"/>
  <c r="F82" i="21"/>
  <c r="G82" i="21" s="1"/>
  <c r="F76" i="21"/>
  <c r="G76" i="21" s="1"/>
  <c r="H76" i="21" s="1"/>
  <c r="I76" i="21" s="1"/>
  <c r="J76" i="21" s="1"/>
  <c r="F75" i="21"/>
  <c r="G75" i="21" s="1"/>
  <c r="F69" i="21"/>
  <c r="G69" i="21" s="1"/>
  <c r="H69" i="21" s="1"/>
  <c r="I69" i="21" s="1"/>
  <c r="J69" i="21" s="1"/>
  <c r="F68" i="21"/>
  <c r="G68" i="21" s="1"/>
  <c r="F62" i="21"/>
  <c r="G62" i="21" s="1"/>
  <c r="H62" i="21" s="1"/>
  <c r="I62" i="21" s="1"/>
  <c r="J62" i="21" s="1"/>
  <c r="F61" i="21"/>
  <c r="G61" i="21" s="1"/>
  <c r="F55" i="21"/>
  <c r="G55" i="21" s="1"/>
  <c r="H55" i="21" s="1"/>
  <c r="I55" i="21" s="1"/>
  <c r="J55" i="21" s="1"/>
  <c r="F54" i="21"/>
  <c r="G54" i="21" s="1"/>
  <c r="F48" i="21"/>
  <c r="G48" i="21" s="1"/>
  <c r="H48" i="21" s="1"/>
  <c r="I48" i="21" s="1"/>
  <c r="J48" i="21" s="1"/>
  <c r="F47" i="21"/>
  <c r="G47" i="21" s="1"/>
  <c r="F41" i="21"/>
  <c r="G41" i="21" s="1"/>
  <c r="H41" i="21" s="1"/>
  <c r="I41" i="21" s="1"/>
  <c r="J41" i="21" s="1"/>
  <c r="F40" i="21"/>
  <c r="G40" i="21" s="1"/>
  <c r="F34" i="21"/>
  <c r="G34" i="21" s="1"/>
  <c r="H34" i="21" s="1"/>
  <c r="I34" i="21" s="1"/>
  <c r="J34" i="21" s="1"/>
  <c r="F33" i="21"/>
  <c r="G33" i="21" s="1"/>
  <c r="F27" i="21"/>
  <c r="G27" i="21" s="1"/>
  <c r="H27" i="21" s="1"/>
  <c r="I27" i="21" s="1"/>
  <c r="J27" i="21" s="1"/>
  <c r="F26" i="21"/>
  <c r="G26" i="21" s="1"/>
  <c r="F20" i="21"/>
  <c r="G20" i="21" s="1"/>
  <c r="F19" i="21"/>
  <c r="G19" i="21" s="1"/>
  <c r="H19" i="21" s="1"/>
  <c r="I19" i="21" s="1"/>
  <c r="J19" i="21" s="1"/>
  <c r="G80" i="21" l="1"/>
  <c r="G84" i="21"/>
  <c r="G73" i="21"/>
  <c r="G77" i="21" s="1"/>
  <c r="G66" i="21"/>
  <c r="G70" i="21"/>
  <c r="G59" i="21"/>
  <c r="G63" i="21" s="1"/>
  <c r="G52" i="21"/>
  <c r="G56" i="21" s="1"/>
  <c r="G45" i="21"/>
  <c r="G49" i="21"/>
  <c r="G38" i="21"/>
  <c r="G42" i="21"/>
  <c r="G31" i="21"/>
  <c r="G35" i="21"/>
  <c r="H84" i="21" l="1"/>
  <c r="H77" i="21"/>
  <c r="H70" i="21"/>
  <c r="I63" i="21"/>
  <c r="J63" i="21"/>
  <c r="I84" i="21" l="1"/>
  <c r="J84" i="21"/>
  <c r="I77" i="21"/>
  <c r="J77" i="21"/>
  <c r="I70" i="21"/>
  <c r="J70" i="21"/>
  <c r="I56" i="21"/>
  <c r="J56" i="21"/>
  <c r="I49" i="21"/>
  <c r="J49" i="21"/>
  <c r="I42" i="21"/>
  <c r="J42" i="21"/>
  <c r="D46" i="20" l="1"/>
  <c r="AB72" i="35" s="1"/>
  <c r="D63" i="24"/>
  <c r="L47" i="20"/>
  <c r="AJ73" i="35" s="1"/>
  <c r="R46" i="20"/>
  <c r="AP72" i="35" s="1"/>
  <c r="O46" i="20"/>
  <c r="AM72" i="35" s="1"/>
  <c r="L46" i="20"/>
  <c r="AJ72" i="35" s="1"/>
  <c r="I46" i="20"/>
  <c r="AG72" i="35" s="1"/>
  <c r="P46" i="20"/>
  <c r="AN72" i="35" s="1"/>
  <c r="N46" i="20"/>
  <c r="AL72" i="35" s="1"/>
  <c r="K46" i="20"/>
  <c r="AI72" i="35" s="1"/>
  <c r="H46" i="20"/>
  <c r="AF72" i="35" s="1"/>
  <c r="H40" i="20"/>
  <c r="AF62" i="35" s="1"/>
  <c r="D40" i="20"/>
  <c r="AB62" i="35" s="1"/>
  <c r="P39" i="20"/>
  <c r="P38" i="20"/>
  <c r="P37" i="20"/>
  <c r="Q35" i="20"/>
  <c r="Q34" i="20"/>
  <c r="Q33" i="20"/>
  <c r="M35" i="20"/>
  <c r="M34" i="20"/>
  <c r="M33" i="20"/>
  <c r="M40" i="20" s="1"/>
  <c r="N31" i="20"/>
  <c r="N30" i="20"/>
  <c r="N29" i="20"/>
  <c r="J31" i="20"/>
  <c r="J30" i="20"/>
  <c r="J29" i="20"/>
  <c r="K27" i="20"/>
  <c r="K26" i="20"/>
  <c r="G27" i="20"/>
  <c r="G26" i="20"/>
  <c r="D20" i="20"/>
  <c r="D19" i="20"/>
  <c r="S18" i="20" s="1"/>
  <c r="P18" i="20"/>
  <c r="M18" i="20"/>
  <c r="AK38" i="35" s="1"/>
  <c r="J18" i="20"/>
  <c r="AH38" i="35" s="1"/>
  <c r="I18" i="20"/>
  <c r="P17" i="20"/>
  <c r="AN37" i="35" s="1"/>
  <c r="M17" i="20"/>
  <c r="AK37" i="35" s="1"/>
  <c r="J17" i="20"/>
  <c r="I17" i="20"/>
  <c r="P16" i="20"/>
  <c r="R16" i="20" s="1"/>
  <c r="M16" i="20"/>
  <c r="O16" i="20" s="1"/>
  <c r="J16" i="20"/>
  <c r="AH36" i="35" s="1"/>
  <c r="I16" i="20"/>
  <c r="P15" i="20"/>
  <c r="AN35" i="35" s="1"/>
  <c r="M15" i="20"/>
  <c r="AK35" i="35" s="1"/>
  <c r="J15" i="20"/>
  <c r="AH35" i="35" s="1"/>
  <c r="I15" i="20"/>
  <c r="P14" i="20"/>
  <c r="AN34" i="35" s="1"/>
  <c r="M14" i="20"/>
  <c r="J14" i="20"/>
  <c r="I14" i="20"/>
  <c r="P13" i="20"/>
  <c r="M13" i="20"/>
  <c r="AK33" i="35" s="1"/>
  <c r="J13" i="20"/>
  <c r="AH33" i="35" s="1"/>
  <c r="I13" i="20"/>
  <c r="P12" i="20"/>
  <c r="AN32" i="35" s="1"/>
  <c r="M12" i="20"/>
  <c r="AK32" i="35" s="1"/>
  <c r="J12" i="20"/>
  <c r="I12" i="20"/>
  <c r="AH31" i="35"/>
  <c r="AB15" i="28" l="1"/>
  <c r="AM36" i="35"/>
  <c r="O50" i="20"/>
  <c r="AM76" i="35" s="1"/>
  <c r="AK62" i="35"/>
  <c r="Y13" i="28"/>
  <c r="AK34" i="35"/>
  <c r="Y27" i="28"/>
  <c r="AL52" i="35"/>
  <c r="S22" i="28"/>
  <c r="AI47" i="35"/>
  <c r="Y28" i="28"/>
  <c r="AL53" i="35"/>
  <c r="AC34" i="28"/>
  <c r="AN59" i="35"/>
  <c r="P14" i="28"/>
  <c r="AG35" i="35"/>
  <c r="AE15" i="28"/>
  <c r="AN36" i="35"/>
  <c r="S23" i="28"/>
  <c r="AI48" i="35"/>
  <c r="Q30" i="20"/>
  <c r="AC35" i="28"/>
  <c r="AF35" i="28" s="1"/>
  <c r="AH35" i="28" s="1"/>
  <c r="R38" i="20" s="1"/>
  <c r="AP60" i="35" s="1"/>
  <c r="AN60" i="35"/>
  <c r="P17" i="28"/>
  <c r="AG38" i="35"/>
  <c r="AE32" i="28"/>
  <c r="AO57" i="35"/>
  <c r="AE17" i="28"/>
  <c r="AN38" i="35"/>
  <c r="S24" i="28"/>
  <c r="AI49" i="35"/>
  <c r="AC36" i="28"/>
  <c r="AF36" i="28" s="1"/>
  <c r="AH36" i="28" s="1"/>
  <c r="R39" i="20" s="1"/>
  <c r="AP61" i="35" s="1"/>
  <c r="AN61" i="35"/>
  <c r="AE12" i="28"/>
  <c r="AN33" i="35"/>
  <c r="P16" i="28"/>
  <c r="AG37" i="35"/>
  <c r="Q26" i="28"/>
  <c r="T26" i="28" s="1"/>
  <c r="V26" i="28" s="1"/>
  <c r="AH51" i="35"/>
  <c r="W31" i="28"/>
  <c r="AA31" i="28" s="1"/>
  <c r="AK56" i="35"/>
  <c r="S16" i="28"/>
  <c r="AH37" i="35"/>
  <c r="Q27" i="28"/>
  <c r="U27" i="28" s="1"/>
  <c r="AH52" i="35"/>
  <c r="W32" i="28"/>
  <c r="Z32" i="28" s="1"/>
  <c r="AB32" i="28" s="1"/>
  <c r="O35" i="20" s="1"/>
  <c r="AM57" i="35" s="1"/>
  <c r="AK57" i="35"/>
  <c r="P12" i="28"/>
  <c r="P18" i="28" s="1"/>
  <c r="AG33" i="35"/>
  <c r="P11" i="28"/>
  <c r="AG32" i="35"/>
  <c r="AB39" i="35"/>
  <c r="S11" i="28"/>
  <c r="U11" i="28" s="1"/>
  <c r="AH32" i="35"/>
  <c r="R13" i="20"/>
  <c r="L12" i="20"/>
  <c r="P13" i="28"/>
  <c r="AG34" i="35"/>
  <c r="P15" i="28"/>
  <c r="AG36" i="35"/>
  <c r="K22" i="28"/>
  <c r="O22" i="28" s="1"/>
  <c r="AE47" i="35"/>
  <c r="Q28" i="28"/>
  <c r="U28" i="28" s="1"/>
  <c r="AH53" i="35"/>
  <c r="AE30" i="28"/>
  <c r="AO55" i="35"/>
  <c r="Y15" i="28"/>
  <c r="AK36" i="35"/>
  <c r="K24" i="28"/>
  <c r="N24" i="28" s="1"/>
  <c r="P24" i="28" s="1"/>
  <c r="I27" i="20" s="1"/>
  <c r="AG49" i="35" s="1"/>
  <c r="AE49" i="35"/>
  <c r="AH15" i="28"/>
  <c r="AP36" i="35"/>
  <c r="W30" i="28"/>
  <c r="AK55" i="35"/>
  <c r="S13" i="28"/>
  <c r="T13" i="28" s="1"/>
  <c r="AH34" i="35"/>
  <c r="K23" i="28"/>
  <c r="N23" i="28" s="1"/>
  <c r="P23" i="28" s="1"/>
  <c r="I26" i="20" s="1"/>
  <c r="AG48" i="35" s="1"/>
  <c r="AE48" i="35"/>
  <c r="Y26" i="28"/>
  <c r="AL51" i="35"/>
  <c r="AE31" i="28"/>
  <c r="AO56" i="35"/>
  <c r="I47" i="20"/>
  <c r="AG73" i="35" s="1"/>
  <c r="AB73" i="35"/>
  <c r="C39" i="28"/>
  <c r="I39" i="28" s="1"/>
  <c r="AB40" i="35"/>
  <c r="P11" i="20"/>
  <c r="O15" i="20"/>
  <c r="Y14" i="28"/>
  <c r="L15" i="20"/>
  <c r="S14" i="28"/>
  <c r="L18" i="20"/>
  <c r="S17" i="28"/>
  <c r="O18" i="20"/>
  <c r="Y17" i="28"/>
  <c r="AJ31" i="35"/>
  <c r="S10" i="28"/>
  <c r="U10" i="28" s="1"/>
  <c r="F30" i="37" s="1"/>
  <c r="R12" i="20"/>
  <c r="AE11" i="28"/>
  <c r="L14" i="20"/>
  <c r="L17" i="20"/>
  <c r="Q31" i="20"/>
  <c r="U103" i="17"/>
  <c r="L16" i="20"/>
  <c r="S15" i="28"/>
  <c r="O17" i="20"/>
  <c r="Y16" i="28"/>
  <c r="O12" i="20"/>
  <c r="Y11" i="28"/>
  <c r="T16" i="28"/>
  <c r="U16" i="28"/>
  <c r="L13" i="20"/>
  <c r="S12" i="28"/>
  <c r="O14" i="20"/>
  <c r="R17" i="20"/>
  <c r="AE16" i="28"/>
  <c r="G40" i="20"/>
  <c r="U13" i="28"/>
  <c r="R15" i="20"/>
  <c r="AE14" i="28"/>
  <c r="O13" i="20"/>
  <c r="Y12" i="28"/>
  <c r="R14" i="20"/>
  <c r="AE13" i="28"/>
  <c r="R18" i="20"/>
  <c r="T27" i="28"/>
  <c r="V27" i="28" s="1"/>
  <c r="L30" i="20" s="1"/>
  <c r="AJ52" i="35" s="1"/>
  <c r="AG34" i="28"/>
  <c r="AF34" i="28"/>
  <c r="AH34" i="28" s="1"/>
  <c r="R37" i="20" s="1"/>
  <c r="AP59" i="35" s="1"/>
  <c r="AG35" i="28"/>
  <c r="N25" i="20"/>
  <c r="N27" i="20"/>
  <c r="AL49" i="35" s="1"/>
  <c r="J40" i="20"/>
  <c r="AH62" i="35" s="1"/>
  <c r="Z30" i="28"/>
  <c r="AB30" i="28" s="1"/>
  <c r="O33" i="20" s="1"/>
  <c r="AM55" i="35" s="1"/>
  <c r="AA30" i="28"/>
  <c r="N26" i="20"/>
  <c r="AL48" i="35" s="1"/>
  <c r="P40" i="20"/>
  <c r="AN62" i="35" s="1"/>
  <c r="Q29" i="20"/>
  <c r="K40" i="20"/>
  <c r="AI62" i="35" s="1"/>
  <c r="I19" i="20"/>
  <c r="AG39" i="35" l="1"/>
  <c r="E32" i="37"/>
  <c r="AE62" i="35"/>
  <c r="E33" i="37"/>
  <c r="W37" i="28"/>
  <c r="R23" i="28"/>
  <c r="X23" i="28" s="1"/>
  <c r="AD23" i="28" s="1"/>
  <c r="AJ23" i="28" s="1"/>
  <c r="T11" i="28"/>
  <c r="O23" i="28"/>
  <c r="U23" i="28" s="1"/>
  <c r="AA32" i="28"/>
  <c r="N22" i="28"/>
  <c r="N37" i="28" s="1"/>
  <c r="AL47" i="35"/>
  <c r="Q25" i="20"/>
  <c r="AO47" i="35" s="1"/>
  <c r="S37" i="28"/>
  <c r="U22" i="28"/>
  <c r="G42" i="19"/>
  <c r="AE26" i="28"/>
  <c r="AO51" i="35"/>
  <c r="AH17" i="28"/>
  <c r="AP38" i="35"/>
  <c r="AB13" i="28"/>
  <c r="AM34" i="35"/>
  <c r="AB11" i="28"/>
  <c r="AM32" i="35"/>
  <c r="V13" i="28"/>
  <c r="AJ34" i="35"/>
  <c r="R24" i="28"/>
  <c r="X24" i="28" s="1"/>
  <c r="AD24" i="28" s="1"/>
  <c r="AJ24" i="28" s="1"/>
  <c r="AE27" i="28"/>
  <c r="AO52" i="35"/>
  <c r="V16" i="28"/>
  <c r="AJ37" i="35"/>
  <c r="AC37" i="28"/>
  <c r="O24" i="28"/>
  <c r="AH12" i="28"/>
  <c r="AP33" i="35"/>
  <c r="U26" i="28"/>
  <c r="Q37" i="28"/>
  <c r="Z31" i="28"/>
  <c r="AB31" i="28" s="1"/>
  <c r="O34" i="20" s="1"/>
  <c r="AM56" i="35" s="1"/>
  <c r="AH13" i="28"/>
  <c r="AP34" i="35"/>
  <c r="R22" i="28"/>
  <c r="V12" i="28"/>
  <c r="AJ33" i="35"/>
  <c r="AB16" i="28"/>
  <c r="AM37" i="35"/>
  <c r="AH11" i="28"/>
  <c r="AP32" i="35"/>
  <c r="AB14" i="28"/>
  <c r="AM35" i="35"/>
  <c r="AE28" i="28"/>
  <c r="AO53" i="35"/>
  <c r="AB17" i="28"/>
  <c r="AM38" i="35"/>
  <c r="T28" i="28"/>
  <c r="V28" i="28" s="1"/>
  <c r="L31" i="20" s="1"/>
  <c r="AJ53" i="35" s="1"/>
  <c r="O11" i="20"/>
  <c r="AB10" i="28" s="1"/>
  <c r="AK31" i="35"/>
  <c r="AH14" i="28"/>
  <c r="AP35" i="35"/>
  <c r="V14" i="28"/>
  <c r="AJ35" i="35"/>
  <c r="AH16" i="28"/>
  <c r="AP37" i="35"/>
  <c r="AG36" i="28"/>
  <c r="AM36" i="28" s="1"/>
  <c r="K37" i="28"/>
  <c r="AB12" i="28"/>
  <c r="AM33" i="35"/>
  <c r="V15" i="28"/>
  <c r="AJ36" i="35"/>
  <c r="V17" i="28"/>
  <c r="AJ38" i="35"/>
  <c r="Y10" i="28"/>
  <c r="Y18" i="28" s="1"/>
  <c r="V11" i="28"/>
  <c r="AJ32" i="35"/>
  <c r="AN31" i="35"/>
  <c r="R11" i="20"/>
  <c r="AE10" i="28"/>
  <c r="AE18" i="28" s="1"/>
  <c r="S18" i="28"/>
  <c r="T10" i="28"/>
  <c r="Z16" i="28"/>
  <c r="AA16" i="28"/>
  <c r="U14" i="28"/>
  <c r="T14" i="28"/>
  <c r="T23" i="28"/>
  <c r="V23" i="28" s="1"/>
  <c r="L26" i="20" s="1"/>
  <c r="AJ48" i="35" s="1"/>
  <c r="AM34" i="28"/>
  <c r="AL34" i="28"/>
  <c r="AN34" i="28" s="1"/>
  <c r="AA11" i="28"/>
  <c r="Z11" i="28"/>
  <c r="AM35" i="28"/>
  <c r="AL35" i="28"/>
  <c r="AN35" i="28" s="1"/>
  <c r="G103" i="17"/>
  <c r="H103" i="17"/>
  <c r="H109" i="17" s="1"/>
  <c r="O103" i="17"/>
  <c r="O109" i="17" s="1"/>
  <c r="J103" i="17"/>
  <c r="J109" i="17" s="1"/>
  <c r="I103" i="17"/>
  <c r="I109" i="17" s="1"/>
  <c r="M103" i="17"/>
  <c r="M109" i="17" s="1"/>
  <c r="R103" i="17"/>
  <c r="Q103" i="17"/>
  <c r="Q109" i="17" s="1"/>
  <c r="K103" i="17"/>
  <c r="K109" i="17" s="1"/>
  <c r="N103" i="17"/>
  <c r="N109" i="17" s="1"/>
  <c r="L103" i="17"/>
  <c r="P103" i="17"/>
  <c r="P109" i="17" s="1"/>
  <c r="Z13" i="28"/>
  <c r="AA13" i="28"/>
  <c r="I50" i="20"/>
  <c r="AG76" i="35" s="1"/>
  <c r="T12" i="28"/>
  <c r="U12" i="28"/>
  <c r="T15" i="28"/>
  <c r="U15" i="28"/>
  <c r="T17" i="28"/>
  <c r="U17" i="28"/>
  <c r="O37" i="28"/>
  <c r="V10" i="28"/>
  <c r="L19" i="20"/>
  <c r="T22" i="28"/>
  <c r="V22" i="28" s="1"/>
  <c r="O39" i="28"/>
  <c r="I42" i="28"/>
  <c r="AF32" i="28"/>
  <c r="AH32" i="28" s="1"/>
  <c r="R35" i="20" s="1"/>
  <c r="AP57" i="35" s="1"/>
  <c r="AG32" i="28"/>
  <c r="AA26" i="28"/>
  <c r="Z26" i="28"/>
  <c r="AB26" i="28" s="1"/>
  <c r="Y22" i="28"/>
  <c r="AA22" i="28" s="1"/>
  <c r="N40" i="20"/>
  <c r="AL62" i="35" s="1"/>
  <c r="P51" i="20"/>
  <c r="AN78" i="35" s="1"/>
  <c r="R50" i="20"/>
  <c r="AP76" i="35" s="1"/>
  <c r="L29" i="20"/>
  <c r="AJ51" i="35" s="1"/>
  <c r="AF30" i="28"/>
  <c r="AH30" i="28" s="1"/>
  <c r="R33" i="20" s="1"/>
  <c r="AP55" i="35" s="1"/>
  <c r="AG30" i="28"/>
  <c r="Y23" i="28"/>
  <c r="Z23" i="28" s="1"/>
  <c r="AB23" i="28" s="1"/>
  <c r="O26" i="20" s="1"/>
  <c r="AM48" i="35" s="1"/>
  <c r="Q26" i="20"/>
  <c r="AG31" i="28"/>
  <c r="AF31" i="28"/>
  <c r="AH31" i="28" s="1"/>
  <c r="R34" i="20" s="1"/>
  <c r="AP56" i="35" s="1"/>
  <c r="L50" i="20"/>
  <c r="AJ76" i="35" s="1"/>
  <c r="Z28" i="28"/>
  <c r="AB28" i="28" s="1"/>
  <c r="O31" i="20" s="1"/>
  <c r="AM53" i="35" s="1"/>
  <c r="AA28" i="28"/>
  <c r="Y24" i="28"/>
  <c r="Q27" i="20"/>
  <c r="AA27" i="28"/>
  <c r="Z27" i="28"/>
  <c r="AB27" i="28" s="1"/>
  <c r="O30" i="20" s="1"/>
  <c r="AM52" i="35" s="1"/>
  <c r="AJ39" i="35" l="1"/>
  <c r="F32" i="37"/>
  <c r="P22" i="28"/>
  <c r="V18" i="28"/>
  <c r="R37" i="28"/>
  <c r="AB18" i="28"/>
  <c r="X22" i="28"/>
  <c r="X37" i="28" s="1"/>
  <c r="AM31" i="35"/>
  <c r="AE23" i="28"/>
  <c r="AO48" i="35"/>
  <c r="U24" i="28"/>
  <c r="U37" i="28" s="1"/>
  <c r="T24" i="28"/>
  <c r="V24" i="28" s="1"/>
  <c r="L27" i="20" s="1"/>
  <c r="AJ49" i="35" s="1"/>
  <c r="AE24" i="28"/>
  <c r="AO49" i="35"/>
  <c r="AL36" i="28"/>
  <c r="AN36" i="28" s="1"/>
  <c r="AH10" i="28"/>
  <c r="AH18" i="28" s="1"/>
  <c r="AP31" i="35"/>
  <c r="L25" i="20"/>
  <c r="AJ47" i="35" s="1"/>
  <c r="AG16" i="28"/>
  <c r="AF16" i="28"/>
  <c r="AL30" i="28"/>
  <c r="AN30" i="28" s="1"/>
  <c r="AM30" i="28"/>
  <c r="AA15" i="28"/>
  <c r="Z15" i="28"/>
  <c r="AD22" i="28"/>
  <c r="AA17" i="28"/>
  <c r="Z17" i="28"/>
  <c r="AA12" i="28"/>
  <c r="Z12" i="28"/>
  <c r="AF13" i="28"/>
  <c r="AG13" i="28"/>
  <c r="Z10" i="28"/>
  <c r="Z18" i="28" s="1"/>
  <c r="U18" i="28"/>
  <c r="AA10" i="28"/>
  <c r="AM32" i="28"/>
  <c r="AL32" i="28"/>
  <c r="AN32" i="28" s="1"/>
  <c r="AG11" i="28"/>
  <c r="AF11" i="28"/>
  <c r="T18" i="28"/>
  <c r="Z14" i="28"/>
  <c r="AA14" i="28"/>
  <c r="I25" i="20"/>
  <c r="P37" i="28"/>
  <c r="AM31" i="28"/>
  <c r="AL31" i="28"/>
  <c r="AN31" i="28" s="1"/>
  <c r="Z22" i="28"/>
  <c r="AB22" i="28" s="1"/>
  <c r="O25" i="20" s="1"/>
  <c r="AA23" i="28"/>
  <c r="AF23" i="28" s="1"/>
  <c r="AH23" i="28" s="1"/>
  <c r="R26" i="20" s="1"/>
  <c r="AP48" i="35" s="1"/>
  <c r="S103" i="17"/>
  <c r="T103" i="17" s="1"/>
  <c r="O42" i="28"/>
  <c r="Z24" i="28"/>
  <c r="AB24" i="28" s="1"/>
  <c r="O27" i="20" s="1"/>
  <c r="AM49" i="35" s="1"/>
  <c r="AF26" i="28"/>
  <c r="AH26" i="28" s="1"/>
  <c r="AG26" i="28"/>
  <c r="AF28" i="28"/>
  <c r="AH28" i="28" s="1"/>
  <c r="R31" i="20" s="1"/>
  <c r="AP53" i="35" s="1"/>
  <c r="AG28" i="28"/>
  <c r="AF27" i="28"/>
  <c r="AH27" i="28" s="1"/>
  <c r="R30" i="20" s="1"/>
  <c r="AP52" i="35" s="1"/>
  <c r="AG27" i="28"/>
  <c r="AE22" i="28"/>
  <c r="Q40" i="20"/>
  <c r="AO62" i="35" s="1"/>
  <c r="AG22" i="28"/>
  <c r="O29" i="20"/>
  <c r="AM51" i="35" s="1"/>
  <c r="Y37" i="28"/>
  <c r="M82" i="21"/>
  <c r="M81" i="21"/>
  <c r="M75" i="21"/>
  <c r="N74" i="21"/>
  <c r="O74" i="21" s="1"/>
  <c r="M74" i="21"/>
  <c r="H74" i="21" s="1"/>
  <c r="M68" i="21"/>
  <c r="M67" i="21"/>
  <c r="M61" i="21"/>
  <c r="M60" i="21"/>
  <c r="M54" i="21"/>
  <c r="N53" i="21"/>
  <c r="O53" i="21" s="1"/>
  <c r="M53" i="21"/>
  <c r="H53" i="21" s="1"/>
  <c r="M47" i="21"/>
  <c r="M46" i="21"/>
  <c r="M40" i="21"/>
  <c r="M39" i="21"/>
  <c r="M33" i="21"/>
  <c r="M32" i="21"/>
  <c r="M26" i="21"/>
  <c r="M25" i="21"/>
  <c r="M19" i="21"/>
  <c r="M18" i="21"/>
  <c r="H18" i="21" s="1"/>
  <c r="G24" i="21"/>
  <c r="H20" i="21"/>
  <c r="AG10" i="28" l="1"/>
  <c r="H30" i="37" s="1"/>
  <c r="G30" i="37"/>
  <c r="AE37" i="28"/>
  <c r="I65" i="15"/>
  <c r="V39" i="35" s="1"/>
  <c r="AK22" i="28"/>
  <c r="AK37" i="28" s="1"/>
  <c r="N60" i="21"/>
  <c r="O60" i="21" s="1"/>
  <c r="H60" i="21"/>
  <c r="N75" i="21"/>
  <c r="O75" i="21" s="1"/>
  <c r="H75" i="21"/>
  <c r="I75" i="21" s="1"/>
  <c r="J75" i="21" s="1"/>
  <c r="N82" i="21"/>
  <c r="O82" i="21" s="1"/>
  <c r="H82" i="21"/>
  <c r="I82" i="21" s="1"/>
  <c r="J82" i="21" s="1"/>
  <c r="N40" i="21"/>
  <c r="O40" i="21" s="1"/>
  <c r="H40" i="21"/>
  <c r="I40" i="21" s="1"/>
  <c r="J40" i="21" s="1"/>
  <c r="N68" i="21"/>
  <c r="O68" i="21" s="1"/>
  <c r="H68" i="21"/>
  <c r="I68" i="21" s="1"/>
  <c r="J68" i="21" s="1"/>
  <c r="N32" i="21"/>
  <c r="O32" i="21" s="1"/>
  <c r="H32" i="21"/>
  <c r="N54" i="21"/>
  <c r="O54" i="21" s="1"/>
  <c r="H54" i="21"/>
  <c r="I54" i="21" s="1"/>
  <c r="J54" i="21" s="1"/>
  <c r="N39" i="21"/>
  <c r="O39" i="21" s="1"/>
  <c r="H39" i="21"/>
  <c r="N18" i="21"/>
  <c r="O18" i="21" s="1"/>
  <c r="N67" i="21"/>
  <c r="O67" i="21" s="1"/>
  <c r="H67" i="21"/>
  <c r="N46" i="21"/>
  <c r="O46" i="21" s="1"/>
  <c r="H46" i="21"/>
  <c r="N19" i="21"/>
  <c r="O19" i="21" s="1"/>
  <c r="N47" i="21"/>
  <c r="O47" i="21" s="1"/>
  <c r="H47" i="21"/>
  <c r="I74" i="21"/>
  <c r="H73" i="21"/>
  <c r="N26" i="21"/>
  <c r="O26" i="21" s="1"/>
  <c r="H26" i="21"/>
  <c r="I26" i="21" s="1"/>
  <c r="J26" i="21" s="1"/>
  <c r="N81" i="21"/>
  <c r="O81" i="21" s="1"/>
  <c r="H81" i="21"/>
  <c r="N33" i="21"/>
  <c r="O33" i="21" s="1"/>
  <c r="H33" i="21"/>
  <c r="N61" i="21"/>
  <c r="O61" i="21" s="1"/>
  <c r="H61" i="21"/>
  <c r="I61" i="21" s="1"/>
  <c r="J61" i="21" s="1"/>
  <c r="N25" i="21"/>
  <c r="O25" i="21" s="1"/>
  <c r="H25" i="21"/>
  <c r="I25" i="21" s="1"/>
  <c r="J25" i="21" s="1"/>
  <c r="I53" i="21"/>
  <c r="H52" i="21"/>
  <c r="H56" i="21" s="1"/>
  <c r="O40" i="20"/>
  <c r="AM62" i="35" s="1"/>
  <c r="AM47" i="35"/>
  <c r="L40" i="20"/>
  <c r="T37" i="28"/>
  <c r="V37" i="28"/>
  <c r="AF22" i="28"/>
  <c r="AH22" i="28" s="1"/>
  <c r="I40" i="20"/>
  <c r="AG62" i="35" s="1"/>
  <c r="AG47" i="35"/>
  <c r="AA24" i="28"/>
  <c r="AA37" i="28" s="1"/>
  <c r="G17" i="21"/>
  <c r="G21" i="21" s="1"/>
  <c r="AF14" i="28"/>
  <c r="AG14" i="28"/>
  <c r="AM26" i="28"/>
  <c r="AL26" i="28"/>
  <c r="AN26" i="28" s="1"/>
  <c r="AM16" i="28"/>
  <c r="AL16" i="28"/>
  <c r="AL13" i="28"/>
  <c r="AM13" i="28"/>
  <c r="AD37" i="28"/>
  <c r="AJ22" i="28"/>
  <c r="AJ37" i="28" s="1"/>
  <c r="Z37" i="28"/>
  <c r="AM27" i="28"/>
  <c r="AL27" i="28"/>
  <c r="AN27" i="28" s="1"/>
  <c r="AG23" i="28"/>
  <c r="AL11" i="28"/>
  <c r="AM11" i="28"/>
  <c r="AG12" i="28"/>
  <c r="AF12" i="28"/>
  <c r="AL28" i="28"/>
  <c r="AN28" i="28" s="1"/>
  <c r="AM28" i="28"/>
  <c r="AA18" i="28"/>
  <c r="AK10" i="28"/>
  <c r="AK18" i="28" s="1"/>
  <c r="AF10" i="28"/>
  <c r="AF17" i="28"/>
  <c r="AG17" i="28"/>
  <c r="AF15" i="28"/>
  <c r="AG15" i="28"/>
  <c r="R29" i="20"/>
  <c r="AP51" i="35" s="1"/>
  <c r="AB37" i="28"/>
  <c r="G28" i="21"/>
  <c r="I20" i="21"/>
  <c r="L74" i="15" l="1"/>
  <c r="J65" i="15"/>
  <c r="W39" i="35" s="1"/>
  <c r="AL22" i="28"/>
  <c r="AN22" i="28" s="1"/>
  <c r="AM22" i="28"/>
  <c r="I81" i="21"/>
  <c r="H80" i="21"/>
  <c r="I32" i="21"/>
  <c r="H31" i="21"/>
  <c r="H35" i="21" s="1"/>
  <c r="I67" i="21"/>
  <c r="H66" i="21"/>
  <c r="J53" i="21"/>
  <c r="J52" i="21" s="1"/>
  <c r="I52" i="21"/>
  <c r="J74" i="21"/>
  <c r="J73" i="21" s="1"/>
  <c r="I73" i="21"/>
  <c r="I60" i="21"/>
  <c r="H59" i="21"/>
  <c r="H63" i="21" s="1"/>
  <c r="I46" i="21"/>
  <c r="H45" i="21"/>
  <c r="H49" i="21" s="1"/>
  <c r="I33" i="21"/>
  <c r="J33" i="21" s="1"/>
  <c r="I47" i="21"/>
  <c r="J47" i="21" s="1"/>
  <c r="I39" i="21"/>
  <c r="H38" i="21"/>
  <c r="H42" i="21" s="1"/>
  <c r="I18" i="21"/>
  <c r="J18" i="21" s="1"/>
  <c r="J17" i="21" s="1"/>
  <c r="R25" i="20"/>
  <c r="AP47" i="35" s="1"/>
  <c r="U94" i="17"/>
  <c r="AJ62" i="35"/>
  <c r="AG24" i="28"/>
  <c r="AG37" i="28" s="1"/>
  <c r="AF24" i="28"/>
  <c r="AH24" i="28" s="1"/>
  <c r="R27" i="20" s="1"/>
  <c r="AP49" i="35" s="1"/>
  <c r="AF18" i="28"/>
  <c r="AM14" i="28"/>
  <c r="AL14" i="28"/>
  <c r="AL15" i="28"/>
  <c r="AM15" i="28"/>
  <c r="AG18" i="28"/>
  <c r="AM10" i="28"/>
  <c r="AL10" i="28"/>
  <c r="AL17" i="28"/>
  <c r="AM17" i="28"/>
  <c r="AM23" i="28"/>
  <c r="AL23" i="28"/>
  <c r="AN23" i="28" s="1"/>
  <c r="AM12" i="28"/>
  <c r="AL12" i="28"/>
  <c r="G11" i="21"/>
  <c r="E46" i="37" s="1"/>
  <c r="H24" i="21"/>
  <c r="H28" i="21" s="1"/>
  <c r="J20" i="21"/>
  <c r="H17" i="21"/>
  <c r="H21" i="21" s="1"/>
  <c r="G13" i="21"/>
  <c r="G10" i="21"/>
  <c r="E45" i="37" s="1"/>
  <c r="E47" i="37" l="1"/>
  <c r="E48" i="37" s="1"/>
  <c r="K65" i="15"/>
  <c r="X39" i="35" s="1"/>
  <c r="R40" i="20"/>
  <c r="AP62" i="35" s="1"/>
  <c r="J46" i="21"/>
  <c r="J45" i="21" s="1"/>
  <c r="I45" i="21"/>
  <c r="J32" i="21"/>
  <c r="J31" i="21" s="1"/>
  <c r="J35" i="21" s="1"/>
  <c r="I31" i="21"/>
  <c r="I35" i="21" s="1"/>
  <c r="J67" i="21"/>
  <c r="J66" i="21" s="1"/>
  <c r="I66" i="21"/>
  <c r="J39" i="21"/>
  <c r="J38" i="21" s="1"/>
  <c r="I38" i="21"/>
  <c r="J60" i="21"/>
  <c r="J59" i="21" s="1"/>
  <c r="I59" i="21"/>
  <c r="I17" i="21"/>
  <c r="I21" i="21" s="1"/>
  <c r="J81" i="21"/>
  <c r="J80" i="21" s="1"/>
  <c r="I80" i="21"/>
  <c r="AL18" i="28"/>
  <c r="AM24" i="28"/>
  <c r="AM37" i="28" s="1"/>
  <c r="AL24" i="28"/>
  <c r="AN24" i="28" s="1"/>
  <c r="AN37" i="28" s="1"/>
  <c r="Q94" i="17"/>
  <c r="O59" i="27" s="1"/>
  <c r="J94" i="17"/>
  <c r="H59" i="27" s="1"/>
  <c r="O94" i="17"/>
  <c r="M59" i="27" s="1"/>
  <c r="G94" i="17"/>
  <c r="I94" i="17"/>
  <c r="G59" i="27" s="1"/>
  <c r="K94" i="17"/>
  <c r="I59" i="27" s="1"/>
  <c r="M94" i="17"/>
  <c r="K59" i="27" s="1"/>
  <c r="R94" i="17"/>
  <c r="H94" i="17"/>
  <c r="F59" i="27" s="1"/>
  <c r="L94" i="17"/>
  <c r="J59" i="27" s="1"/>
  <c r="P94" i="17"/>
  <c r="N59" i="27" s="1"/>
  <c r="N94" i="17"/>
  <c r="L59" i="27" s="1"/>
  <c r="AF37" i="28"/>
  <c r="AH37" i="28"/>
  <c r="AM18" i="28"/>
  <c r="L65" i="15" s="1"/>
  <c r="Y39" i="35" s="1"/>
  <c r="G12" i="21"/>
  <c r="G14" i="21" s="1"/>
  <c r="J21" i="21"/>
  <c r="H11" i="21"/>
  <c r="F46" i="37" s="1"/>
  <c r="I24" i="21"/>
  <c r="J24" i="21"/>
  <c r="H13" i="21"/>
  <c r="H10" i="21"/>
  <c r="F45" i="37" s="1"/>
  <c r="F47" i="37" l="1"/>
  <c r="F48" i="37" s="1"/>
  <c r="U78" i="17"/>
  <c r="I13" i="21"/>
  <c r="R59" i="27"/>
  <c r="P59" i="27"/>
  <c r="E59" i="27"/>
  <c r="S94" i="17"/>
  <c r="T94" i="17" s="1"/>
  <c r="AL37" i="28"/>
  <c r="I10" i="21"/>
  <c r="G45" i="37" s="1"/>
  <c r="J28" i="21"/>
  <c r="J11" i="21" s="1"/>
  <c r="H46" i="37" s="1"/>
  <c r="I28" i="21"/>
  <c r="I11" i="21" s="1"/>
  <c r="G46" i="37" s="1"/>
  <c r="H12" i="21"/>
  <c r="H14" i="21" s="1"/>
  <c r="J10" i="21"/>
  <c r="H45" i="37" s="1"/>
  <c r="H47" i="37" s="1"/>
  <c r="H48" i="37" s="1"/>
  <c r="J13" i="21"/>
  <c r="G47" i="37" l="1"/>
  <c r="G48" i="37" s="1"/>
  <c r="Q59" i="27"/>
  <c r="I12" i="21"/>
  <c r="I14" i="21" s="1"/>
  <c r="J12" i="21"/>
  <c r="J14" i="21" s="1"/>
  <c r="P15" i="6"/>
  <c r="O57" i="35" s="1"/>
  <c r="N15" i="6"/>
  <c r="M57" i="35" s="1"/>
  <c r="L15" i="6"/>
  <c r="K57" i="35" s="1"/>
  <c r="J15" i="6"/>
  <c r="K10" i="27"/>
  <c r="K11" i="27" s="1"/>
  <c r="P11" i="6"/>
  <c r="N11" i="6"/>
  <c r="L11" i="6"/>
  <c r="J11" i="6"/>
  <c r="E9" i="24"/>
  <c r="F9" i="24"/>
  <c r="G9" i="24"/>
  <c r="E10" i="24"/>
  <c r="F10" i="24"/>
  <c r="F32" i="24" s="1"/>
  <c r="G10" i="24"/>
  <c r="G32" i="24" s="1"/>
  <c r="E11" i="24"/>
  <c r="F11" i="24"/>
  <c r="G11" i="24"/>
  <c r="E12" i="24"/>
  <c r="E34" i="24" s="1"/>
  <c r="F12" i="24"/>
  <c r="F34" i="24" s="1"/>
  <c r="G12" i="24"/>
  <c r="E13" i="24"/>
  <c r="F13" i="24"/>
  <c r="G13" i="24"/>
  <c r="E14" i="24"/>
  <c r="E36" i="24" s="1"/>
  <c r="F14" i="24"/>
  <c r="F36" i="24" s="1"/>
  <c r="G14" i="24"/>
  <c r="G36" i="24" s="1"/>
  <c r="E15" i="24"/>
  <c r="E37" i="24" s="1"/>
  <c r="F15" i="24"/>
  <c r="F37" i="24" s="1"/>
  <c r="G15" i="24"/>
  <c r="D15" i="24"/>
  <c r="D37" i="24" s="1"/>
  <c r="D14" i="24"/>
  <c r="D36" i="24" s="1"/>
  <c r="D13" i="24"/>
  <c r="D12" i="24"/>
  <c r="D34" i="24" s="1"/>
  <c r="D11" i="24"/>
  <c r="D10" i="24"/>
  <c r="D32" i="24" s="1"/>
  <c r="D9" i="24"/>
  <c r="E7" i="24"/>
  <c r="F7" i="24"/>
  <c r="G7" i="24"/>
  <c r="D8" i="24"/>
  <c r="D7" i="24"/>
  <c r="E48" i="24"/>
  <c r="F48" i="24"/>
  <c r="G48" i="24"/>
  <c r="D48" i="24"/>
  <c r="E47" i="24"/>
  <c r="F47" i="24"/>
  <c r="G47" i="24"/>
  <c r="D47" i="24"/>
  <c r="E45" i="24"/>
  <c r="F45" i="24"/>
  <c r="G45" i="24"/>
  <c r="D45" i="24"/>
  <c r="E43" i="24"/>
  <c r="F43" i="24"/>
  <c r="G43" i="24"/>
  <c r="D43" i="24"/>
  <c r="E60" i="18"/>
  <c r="E44" i="35" s="1"/>
  <c r="D41" i="24"/>
  <c r="E40" i="24"/>
  <c r="F40" i="24"/>
  <c r="G40" i="24"/>
  <c r="D40" i="24"/>
  <c r="H46" i="24"/>
  <c r="E70" i="24"/>
  <c r="F70" i="24"/>
  <c r="G70" i="24"/>
  <c r="D70" i="24"/>
  <c r="E69" i="24"/>
  <c r="F69" i="24"/>
  <c r="G69" i="24"/>
  <c r="D69" i="24"/>
  <c r="E68" i="24"/>
  <c r="F68" i="24"/>
  <c r="G68" i="24"/>
  <c r="D68" i="24"/>
  <c r="E67" i="24"/>
  <c r="F67" i="24"/>
  <c r="G67" i="24"/>
  <c r="D67" i="24"/>
  <c r="E66" i="24"/>
  <c r="F66" i="24"/>
  <c r="G66" i="24"/>
  <c r="D66" i="24"/>
  <c r="E65" i="24"/>
  <c r="F65" i="24"/>
  <c r="G65" i="24"/>
  <c r="D65" i="24"/>
  <c r="E61" i="18"/>
  <c r="E62" i="24"/>
  <c r="F62" i="24"/>
  <c r="G62" i="24"/>
  <c r="D62" i="24"/>
  <c r="E64" i="24"/>
  <c r="F64" i="24"/>
  <c r="G64" i="24"/>
  <c r="D64" i="24"/>
  <c r="I6" i="17"/>
  <c r="U52" i="17"/>
  <c r="U51" i="17"/>
  <c r="S24" i="17"/>
  <c r="U35" i="17"/>
  <c r="O18" i="17"/>
  <c r="P18" i="17"/>
  <c r="Q18" i="17"/>
  <c r="R18" i="17"/>
  <c r="N18" i="17"/>
  <c r="L18" i="17"/>
  <c r="K18" i="17"/>
  <c r="J18" i="17"/>
  <c r="I18" i="17"/>
  <c r="H18" i="17"/>
  <c r="G18" i="17"/>
  <c r="G10" i="17"/>
  <c r="K53" i="35" l="1"/>
  <c r="F9" i="37"/>
  <c r="M53" i="35"/>
  <c r="G9" i="37"/>
  <c r="I53" i="35"/>
  <c r="E9" i="37"/>
  <c r="I44" i="15"/>
  <c r="V22" i="35" s="1"/>
  <c r="O53" i="35"/>
  <c r="H9" i="37"/>
  <c r="N10" i="27"/>
  <c r="N11" i="27" s="1"/>
  <c r="J14" i="6"/>
  <c r="I54" i="35"/>
  <c r="P10" i="27"/>
  <c r="P11" i="27" s="1"/>
  <c r="J10" i="27"/>
  <c r="J11" i="27" s="1"/>
  <c r="O10" i="27"/>
  <c r="O11" i="27" s="1"/>
  <c r="E10" i="27"/>
  <c r="I10" i="27"/>
  <c r="I11" i="27" s="1"/>
  <c r="G10" i="27"/>
  <c r="G11" i="27" s="1"/>
  <c r="H10" i="27"/>
  <c r="H11" i="27" s="1"/>
  <c r="U22" i="17"/>
  <c r="I57" i="35"/>
  <c r="H15" i="16"/>
  <c r="V62" i="35" s="1"/>
  <c r="E45" i="35"/>
  <c r="L10" i="27"/>
  <c r="L11" i="27" s="1"/>
  <c r="L44" i="15"/>
  <c r="Y22" i="35" s="1"/>
  <c r="M10" i="27"/>
  <c r="M11" i="27" s="1"/>
  <c r="J44" i="15"/>
  <c r="W22" i="35" s="1"/>
  <c r="F10" i="27"/>
  <c r="F11" i="27" s="1"/>
  <c r="K44" i="15"/>
  <c r="X22" i="35" s="1"/>
  <c r="F54" i="24"/>
  <c r="F76" i="24" s="1"/>
  <c r="E3" i="27"/>
  <c r="C1" i="26"/>
  <c r="F59" i="24"/>
  <c r="F81" i="24" s="1"/>
  <c r="F56" i="24"/>
  <c r="F78" i="24" s="1"/>
  <c r="D56" i="24"/>
  <c r="D78" i="24" s="1"/>
  <c r="F58" i="24"/>
  <c r="F80" i="24" s="1"/>
  <c r="D54" i="24"/>
  <c r="D76" i="24" s="1"/>
  <c r="E58" i="24"/>
  <c r="E80" i="24" s="1"/>
  <c r="E59" i="24"/>
  <c r="E81" i="24" s="1"/>
  <c r="G58" i="24"/>
  <c r="G80" i="24" s="1"/>
  <c r="D58" i="24"/>
  <c r="E56" i="24"/>
  <c r="E78" i="24" s="1"/>
  <c r="D59" i="24"/>
  <c r="D81" i="24" s="1"/>
  <c r="G54" i="24"/>
  <c r="G76" i="24" s="1"/>
  <c r="G37" i="24"/>
  <c r="E35" i="24"/>
  <c r="E57" i="24" s="1"/>
  <c r="E79" i="24" s="1"/>
  <c r="D33" i="24"/>
  <c r="F31" i="24"/>
  <c r="F53" i="24" s="1"/>
  <c r="F75" i="24" s="1"/>
  <c r="G33" i="24"/>
  <c r="G55" i="24" s="1"/>
  <c r="G77" i="24" s="1"/>
  <c r="E31" i="24"/>
  <c r="E53" i="24" s="1"/>
  <c r="E75" i="24" s="1"/>
  <c r="D31" i="24"/>
  <c r="D53" i="24" s="1"/>
  <c r="D75" i="24" s="1"/>
  <c r="D35" i="24"/>
  <c r="D57" i="24" s="1"/>
  <c r="D79" i="24" s="1"/>
  <c r="F33" i="24"/>
  <c r="G34" i="24"/>
  <c r="H36" i="24"/>
  <c r="G35" i="24"/>
  <c r="G57" i="24" s="1"/>
  <c r="G79" i="24" s="1"/>
  <c r="E33" i="24"/>
  <c r="E55" i="24" s="1"/>
  <c r="E77" i="24" s="1"/>
  <c r="E32" i="24"/>
  <c r="E54" i="24" s="1"/>
  <c r="E76" i="24" s="1"/>
  <c r="G31" i="24"/>
  <c r="F35" i="24"/>
  <c r="F57" i="24" s="1"/>
  <c r="F79" i="24" s="1"/>
  <c r="H14" i="24"/>
  <c r="H15" i="24"/>
  <c r="H10" i="24"/>
  <c r="H48" i="24"/>
  <c r="H13" i="24"/>
  <c r="H9" i="24"/>
  <c r="H11" i="24"/>
  <c r="E16" i="24"/>
  <c r="F16" i="24"/>
  <c r="G16" i="24"/>
  <c r="H12" i="24"/>
  <c r="D16" i="24"/>
  <c r="H68" i="24"/>
  <c r="E49" i="24"/>
  <c r="E71" i="24"/>
  <c r="H66" i="24"/>
  <c r="H70" i="24"/>
  <c r="G49" i="24"/>
  <c r="H65" i="24"/>
  <c r="H47" i="24"/>
  <c r="H67" i="24"/>
  <c r="H43" i="24"/>
  <c r="H42" i="24"/>
  <c r="H64" i="24"/>
  <c r="F49" i="24"/>
  <c r="H44" i="24"/>
  <c r="H45" i="24"/>
  <c r="D49" i="24"/>
  <c r="H69" i="24"/>
  <c r="G71" i="24"/>
  <c r="F71" i="24"/>
  <c r="D71" i="24"/>
  <c r="I56" i="35" l="1"/>
  <c r="E10" i="37"/>
  <c r="K15" i="6"/>
  <c r="S17" i="17"/>
  <c r="H76" i="24"/>
  <c r="Q10" i="27"/>
  <c r="E11" i="27"/>
  <c r="H79" i="24"/>
  <c r="E82" i="24"/>
  <c r="H75" i="24"/>
  <c r="H58" i="24"/>
  <c r="D80" i="24"/>
  <c r="H80" i="24" s="1"/>
  <c r="D38" i="24"/>
  <c r="D55" i="24"/>
  <c r="H37" i="24"/>
  <c r="G59" i="24"/>
  <c r="H57" i="24"/>
  <c r="H54" i="24"/>
  <c r="H34" i="24"/>
  <c r="G56" i="24"/>
  <c r="F38" i="24"/>
  <c r="F55" i="24"/>
  <c r="G38" i="24"/>
  <c r="G53" i="24"/>
  <c r="G75" i="24" s="1"/>
  <c r="H53" i="24"/>
  <c r="E60" i="24"/>
  <c r="E38" i="24"/>
  <c r="H32" i="24"/>
  <c r="H33" i="24"/>
  <c r="H35" i="24"/>
  <c r="H31" i="24"/>
  <c r="H71" i="24"/>
  <c r="H16" i="24"/>
  <c r="H49" i="24"/>
  <c r="H38" i="24" l="1"/>
  <c r="Q11" i="27"/>
  <c r="H59" i="24"/>
  <c r="G81" i="24"/>
  <c r="H81" i="24" s="1"/>
  <c r="H55" i="24"/>
  <c r="D77" i="24"/>
  <c r="F60" i="24"/>
  <c r="F77" i="24"/>
  <c r="F82" i="24" s="1"/>
  <c r="H56" i="24"/>
  <c r="G78" i="24"/>
  <c r="H78" i="24" s="1"/>
  <c r="D60" i="24"/>
  <c r="G60" i="24"/>
  <c r="H20" i="6"/>
  <c r="D11" i="37" s="1"/>
  <c r="I30" i="6"/>
  <c r="I29" i="6"/>
  <c r="I27" i="6"/>
  <c r="I25" i="6"/>
  <c r="I24" i="6"/>
  <c r="I23" i="6"/>
  <c r="I21" i="6"/>
  <c r="K16" i="6"/>
  <c r="J16" i="6" s="1"/>
  <c r="O89" i="16"/>
  <c r="N89" i="16"/>
  <c r="P81" i="16"/>
  <c r="I58" i="35" l="1"/>
  <c r="U25" i="17"/>
  <c r="H60" i="24"/>
  <c r="G62" i="35"/>
  <c r="I20" i="6"/>
  <c r="O16" i="16" s="1"/>
  <c r="D64" i="37" s="1"/>
  <c r="H22" i="6"/>
  <c r="H77" i="24"/>
  <c r="H82" i="24" s="1"/>
  <c r="D82" i="24"/>
  <c r="G82" i="24"/>
  <c r="O15" i="16"/>
  <c r="D63" i="37" s="1"/>
  <c r="D12" i="37" l="1"/>
  <c r="O17" i="16"/>
  <c r="H26" i="6"/>
  <c r="D13" i="37" s="1"/>
  <c r="G64" i="35"/>
  <c r="O23" i="16"/>
  <c r="I22" i="6"/>
  <c r="O18" i="16" s="1"/>
  <c r="P12" i="16"/>
  <c r="S10" i="16"/>
  <c r="S11" i="16" s="1"/>
  <c r="R10" i="16"/>
  <c r="R11" i="16" s="1"/>
  <c r="Q10" i="16"/>
  <c r="Q11" i="16" s="1"/>
  <c r="P10" i="16"/>
  <c r="P11" i="16" s="1"/>
  <c r="O10" i="16"/>
  <c r="O11" i="16" s="1"/>
  <c r="N10" i="16"/>
  <c r="N11" i="16" s="1"/>
  <c r="G53" i="16"/>
  <c r="F53" i="16"/>
  <c r="G51" i="16"/>
  <c r="F51" i="16"/>
  <c r="G49" i="16"/>
  <c r="AG13" i="35" s="1"/>
  <c r="F49" i="16"/>
  <c r="K48" i="16"/>
  <c r="J48" i="16"/>
  <c r="I48" i="16"/>
  <c r="H48" i="16"/>
  <c r="G48" i="16"/>
  <c r="F48" i="16"/>
  <c r="G46" i="16"/>
  <c r="F46" i="16"/>
  <c r="G44" i="16"/>
  <c r="F44" i="16"/>
  <c r="G38" i="16"/>
  <c r="D54" i="37" s="1"/>
  <c r="F38" i="16"/>
  <c r="J31" i="16"/>
  <c r="X72" i="35" s="1"/>
  <c r="I31" i="16"/>
  <c r="W72" i="35" s="1"/>
  <c r="AG17" i="35" l="1"/>
  <c r="D60" i="37"/>
  <c r="AG15" i="35"/>
  <c r="D59" i="37"/>
  <c r="AG12" i="35"/>
  <c r="D57" i="37"/>
  <c r="AE17" i="35"/>
  <c r="C60" i="37"/>
  <c r="AE15" i="35"/>
  <c r="C59" i="37"/>
  <c r="F40" i="16"/>
  <c r="C54" i="37"/>
  <c r="AE12" i="35"/>
  <c r="C57" i="37"/>
  <c r="AE13" i="35"/>
  <c r="C58" i="37"/>
  <c r="AE10" i="35"/>
  <c r="C56" i="37"/>
  <c r="AG10" i="35"/>
  <c r="D56" i="37"/>
  <c r="D55" i="37"/>
  <c r="G55" i="16"/>
  <c r="D61" i="37" s="1"/>
  <c r="AE8" i="35"/>
  <c r="C55" i="37"/>
  <c r="AI12" i="35"/>
  <c r="E57" i="37"/>
  <c r="AM12" i="35"/>
  <c r="G57" i="37"/>
  <c r="AO12" i="35"/>
  <c r="H57" i="37"/>
  <c r="AK12" i="35"/>
  <c r="F57" i="37"/>
  <c r="O19" i="16"/>
  <c r="D66" i="37"/>
  <c r="D65" i="37"/>
  <c r="O70" i="16"/>
  <c r="G10" i="16"/>
  <c r="O31" i="16" s="1"/>
  <c r="O24" i="16"/>
  <c r="D72" i="37"/>
  <c r="G40" i="16"/>
  <c r="AG8" i="35"/>
  <c r="G45" i="16"/>
  <c r="H45" i="16" s="1"/>
  <c r="H44" i="16" s="1"/>
  <c r="E55" i="37" s="1"/>
  <c r="G52" i="16"/>
  <c r="AG16" i="35" s="1"/>
  <c r="G54" i="16"/>
  <c r="F47" i="16"/>
  <c r="AE11" i="35" s="1"/>
  <c r="G47" i="16"/>
  <c r="F50" i="16"/>
  <c r="AE14" i="35" s="1"/>
  <c r="F54" i="16"/>
  <c r="AE18" i="35" s="1"/>
  <c r="G50" i="16"/>
  <c r="H50" i="16" s="1"/>
  <c r="F45" i="16"/>
  <c r="AE9" i="35" s="1"/>
  <c r="F52" i="16"/>
  <c r="AE16" i="35" s="1"/>
  <c r="H31" i="6"/>
  <c r="D14" i="37" s="1"/>
  <c r="G68" i="35"/>
  <c r="I26" i="6"/>
  <c r="F55" i="16"/>
  <c r="AE19" i="35" l="1"/>
  <c r="C61" i="37"/>
  <c r="AI14" i="35"/>
  <c r="H49" i="16"/>
  <c r="E58" i="37" s="1"/>
  <c r="D71" i="37"/>
  <c r="D50" i="37"/>
  <c r="G16" i="16"/>
  <c r="D51" i="37" s="1"/>
  <c r="O32" i="16"/>
  <c r="AT15" i="35" s="1"/>
  <c r="D76" i="37"/>
  <c r="AT14" i="35"/>
  <c r="H54" i="16"/>
  <c r="E12" i="17" s="1"/>
  <c r="AI8" i="35"/>
  <c r="G56" i="16"/>
  <c r="AG20" i="35" s="1"/>
  <c r="AG11" i="35"/>
  <c r="H47" i="16"/>
  <c r="E16" i="17" s="1"/>
  <c r="C13" i="26" s="1"/>
  <c r="H52" i="16"/>
  <c r="AG18" i="35"/>
  <c r="Q3" i="26"/>
  <c r="Q7" i="26" s="1"/>
  <c r="R7" i="26" s="1"/>
  <c r="C3" i="26"/>
  <c r="AG9" i="35"/>
  <c r="I45" i="16"/>
  <c r="J45" i="16" s="1"/>
  <c r="K45" i="16" s="1"/>
  <c r="AO9" i="35" s="1"/>
  <c r="AI9" i="35"/>
  <c r="AG14" i="35"/>
  <c r="AG19" i="35"/>
  <c r="O20" i="16"/>
  <c r="D67" i="37" s="1"/>
  <c r="G72" i="35"/>
  <c r="I31" i="6"/>
  <c r="O21" i="16" s="1"/>
  <c r="D68" i="37" s="1"/>
  <c r="I54" i="16"/>
  <c r="AK18" i="35" s="1"/>
  <c r="H53" i="16"/>
  <c r="I50" i="16"/>
  <c r="AI13" i="35" l="1"/>
  <c r="AK14" i="35"/>
  <c r="I49" i="16"/>
  <c r="F58" i="37" s="1"/>
  <c r="AI17" i="35"/>
  <c r="E60" i="37"/>
  <c r="E68" i="17"/>
  <c r="S68" i="17" s="1"/>
  <c r="S12" i="17"/>
  <c r="AI18" i="35"/>
  <c r="C22" i="26"/>
  <c r="C18" i="26"/>
  <c r="D13" i="26"/>
  <c r="C21" i="26"/>
  <c r="C26" i="26"/>
  <c r="I34" i="26" s="1"/>
  <c r="C17" i="26"/>
  <c r="C24" i="26"/>
  <c r="C20" i="26"/>
  <c r="C25" i="26"/>
  <c r="C23" i="26"/>
  <c r="C19" i="26"/>
  <c r="AI16" i="35"/>
  <c r="E23" i="17"/>
  <c r="Q39" i="26"/>
  <c r="Q43" i="26" s="1"/>
  <c r="R43" i="26" s="1"/>
  <c r="AI11" i="35"/>
  <c r="I52" i="16"/>
  <c r="J52" i="16" s="1"/>
  <c r="R3" i="26"/>
  <c r="S3" i="26" s="1"/>
  <c r="S7" i="26" s="1"/>
  <c r="S8" i="26" s="1"/>
  <c r="I23" i="17" s="1"/>
  <c r="C39" i="26"/>
  <c r="C42" i="26" s="1"/>
  <c r="Q6" i="26"/>
  <c r="C10" i="26"/>
  <c r="D10" i="26" s="1"/>
  <c r="E10" i="26" s="1"/>
  <c r="F10" i="26" s="1"/>
  <c r="G10" i="26" s="1"/>
  <c r="C4" i="26"/>
  <c r="C5" i="26" s="1"/>
  <c r="I47" i="16"/>
  <c r="H46" i="16"/>
  <c r="C6" i="26"/>
  <c r="D3" i="26"/>
  <c r="D42" i="26" s="1"/>
  <c r="C7" i="26"/>
  <c r="D7" i="26" s="1"/>
  <c r="C8" i="26"/>
  <c r="D8" i="26" s="1"/>
  <c r="E8" i="26" s="1"/>
  <c r="C9" i="26"/>
  <c r="D9" i="26" s="1"/>
  <c r="E9" i="26" s="1"/>
  <c r="F9" i="26" s="1"/>
  <c r="J50" i="16"/>
  <c r="AM14" i="35" s="1"/>
  <c r="AK9" i="35"/>
  <c r="I44" i="16"/>
  <c r="AM9" i="35"/>
  <c r="J44" i="16"/>
  <c r="J54" i="16"/>
  <c r="AM18" i="35" s="1"/>
  <c r="AK13" i="35"/>
  <c r="I53" i="16"/>
  <c r="K44" i="16"/>
  <c r="K13" i="16"/>
  <c r="Y60" i="35" s="1"/>
  <c r="AK16" i="35" l="1"/>
  <c r="C11" i="26"/>
  <c r="AK8" i="35"/>
  <c r="F55" i="37"/>
  <c r="AO8" i="35"/>
  <c r="H55" i="37"/>
  <c r="H33" i="26"/>
  <c r="S14" i="17"/>
  <c r="R12" i="17"/>
  <c r="P6" i="27" s="1"/>
  <c r="P7" i="27" s="1"/>
  <c r="G12" i="17"/>
  <c r="E6" i="27" s="1"/>
  <c r="E7" i="27" s="1"/>
  <c r="AK17" i="35"/>
  <c r="F60" i="37"/>
  <c r="AM8" i="35"/>
  <c r="G55" i="37"/>
  <c r="AI10" i="35"/>
  <c r="E56" i="37"/>
  <c r="S70" i="17"/>
  <c r="Q68" i="17"/>
  <c r="O35" i="27" s="1"/>
  <c r="O36" i="27" s="1"/>
  <c r="H68" i="17"/>
  <c r="F35" i="27" s="1"/>
  <c r="F36" i="27" s="1"/>
  <c r="M68" i="17"/>
  <c r="K35" i="27" s="1"/>
  <c r="K36" i="27" s="1"/>
  <c r="N68" i="17"/>
  <c r="L35" i="27" s="1"/>
  <c r="L36" i="27" s="1"/>
  <c r="O68" i="17"/>
  <c r="M35" i="27" s="1"/>
  <c r="M36" i="27" s="1"/>
  <c r="G68" i="17"/>
  <c r="E35" i="27" s="1"/>
  <c r="E36" i="27" s="1"/>
  <c r="I68" i="17"/>
  <c r="G35" i="27" s="1"/>
  <c r="G36" i="27" s="1"/>
  <c r="R68" i="17"/>
  <c r="P35" i="27" s="1"/>
  <c r="P36" i="27" s="1"/>
  <c r="R39" i="26"/>
  <c r="Q42" i="26"/>
  <c r="C46" i="26"/>
  <c r="D46" i="26" s="1"/>
  <c r="E46" i="26" s="1"/>
  <c r="F46" i="26" s="1"/>
  <c r="G46" i="26" s="1"/>
  <c r="C44" i="26"/>
  <c r="D44" i="26" s="1"/>
  <c r="E44" i="26" s="1"/>
  <c r="C43" i="26"/>
  <c r="D43" i="26" s="1"/>
  <c r="D39" i="26"/>
  <c r="E39" i="26" s="1"/>
  <c r="F39" i="26" s="1"/>
  <c r="F31" i="26"/>
  <c r="C45" i="26"/>
  <c r="D45" i="26" s="1"/>
  <c r="E45" i="26" s="1"/>
  <c r="F45" i="26" s="1"/>
  <c r="D21" i="26"/>
  <c r="D17" i="26"/>
  <c r="D26" i="26"/>
  <c r="J34" i="26" s="1"/>
  <c r="D22" i="26"/>
  <c r="E13" i="26"/>
  <c r="D23" i="26"/>
  <c r="D24" i="26"/>
  <c r="D19" i="26"/>
  <c r="D20" i="26"/>
  <c r="G31" i="26" s="1"/>
  <c r="D18" i="26"/>
  <c r="D25" i="26"/>
  <c r="R6" i="26"/>
  <c r="R8" i="26" s="1"/>
  <c r="H23" i="17" s="1"/>
  <c r="E30" i="26"/>
  <c r="AK11" i="35"/>
  <c r="E72" i="17"/>
  <c r="C49" i="26" s="1"/>
  <c r="G32" i="26"/>
  <c r="J47" i="16"/>
  <c r="AM11" i="35" s="1"/>
  <c r="D6" i="26"/>
  <c r="D11" i="26" s="1"/>
  <c r="H11" i="17" s="1"/>
  <c r="I46" i="16"/>
  <c r="J39" i="15" s="1"/>
  <c r="W19" i="35" s="1"/>
  <c r="G11" i="17"/>
  <c r="E3" i="26"/>
  <c r="F3" i="26" s="1"/>
  <c r="J53" i="16"/>
  <c r="K50" i="16"/>
  <c r="AO14" i="35" s="1"/>
  <c r="J49" i="16"/>
  <c r="K54" i="16"/>
  <c r="AO18" i="35" s="1"/>
  <c r="K52" i="16"/>
  <c r="AO16" i="35" s="1"/>
  <c r="AM16" i="35"/>
  <c r="S39" i="26"/>
  <c r="S43" i="26" s="1"/>
  <c r="S44" i="26" s="1"/>
  <c r="I79" i="17" s="1"/>
  <c r="R42" i="26"/>
  <c r="R44" i="26" s="1"/>
  <c r="H79" i="17" s="1"/>
  <c r="J46" i="16"/>
  <c r="G56" i="37" s="1"/>
  <c r="K47" i="16"/>
  <c r="I66" i="15"/>
  <c r="V40" i="35" s="1"/>
  <c r="I62" i="15"/>
  <c r="I60" i="15"/>
  <c r="J60" i="15" s="1"/>
  <c r="K60" i="15" s="1"/>
  <c r="L60" i="15" s="1"/>
  <c r="I58" i="15"/>
  <c r="I54" i="15"/>
  <c r="V31" i="35" s="1"/>
  <c r="G86" i="15"/>
  <c r="H92" i="15"/>
  <c r="G92" i="15"/>
  <c r="G88" i="15"/>
  <c r="T49" i="35" s="1"/>
  <c r="H88" i="15"/>
  <c r="U49" i="35" s="1"/>
  <c r="H86" i="15"/>
  <c r="I86" i="15" s="1"/>
  <c r="I85" i="15" s="1"/>
  <c r="H81" i="15"/>
  <c r="U48" i="35" s="1"/>
  <c r="G81" i="15"/>
  <c r="T48" i="35" s="1"/>
  <c r="H79" i="15"/>
  <c r="G79" i="15"/>
  <c r="H77" i="15"/>
  <c r="G77" i="15"/>
  <c r="T47" i="35" s="1"/>
  <c r="G73" i="15"/>
  <c r="T45" i="35" s="1"/>
  <c r="H68" i="15"/>
  <c r="G68" i="15"/>
  <c r="H59" i="15"/>
  <c r="G59" i="15"/>
  <c r="H57" i="15"/>
  <c r="U34" i="35" s="1"/>
  <c r="J41" i="15"/>
  <c r="W20" i="35" s="1"/>
  <c r="K41" i="15"/>
  <c r="X20" i="35" s="1"/>
  <c r="I41" i="15"/>
  <c r="V20" i="35" s="1"/>
  <c r="I39" i="15"/>
  <c r="J36" i="15"/>
  <c r="K36" i="15"/>
  <c r="L36" i="15"/>
  <c r="I36" i="15"/>
  <c r="E20" i="37" s="1"/>
  <c r="H42" i="15"/>
  <c r="G42" i="15"/>
  <c r="H40" i="15"/>
  <c r="G40" i="15"/>
  <c r="H38" i="15"/>
  <c r="D21" i="37" s="1"/>
  <c r="G38" i="15"/>
  <c r="C21" i="37" s="1"/>
  <c r="H37" i="15"/>
  <c r="G37" i="15"/>
  <c r="G15" i="15"/>
  <c r="C18" i="37" s="1"/>
  <c r="U36" i="35" l="1"/>
  <c r="D25" i="37"/>
  <c r="T36" i="35"/>
  <c r="C25" i="37"/>
  <c r="AM13" i="35"/>
  <c r="G58" i="37"/>
  <c r="Y17" i="35"/>
  <c r="H20" i="37"/>
  <c r="G14" i="17"/>
  <c r="R14" i="17"/>
  <c r="X17" i="35"/>
  <c r="G20" i="37"/>
  <c r="W17" i="35"/>
  <c r="F20" i="37"/>
  <c r="AK10" i="35"/>
  <c r="F56" i="37"/>
  <c r="AM17" i="35"/>
  <c r="G60" i="37"/>
  <c r="F30" i="26"/>
  <c r="Q70" i="17"/>
  <c r="M70" i="17"/>
  <c r="O70" i="17"/>
  <c r="N70" i="17"/>
  <c r="N78" i="17" s="1"/>
  <c r="L42" i="27" s="1"/>
  <c r="L43" i="27" s="1"/>
  <c r="G70" i="17"/>
  <c r="R70" i="17"/>
  <c r="E43" i="26"/>
  <c r="E47" i="26" s="1"/>
  <c r="I67" i="17" s="1"/>
  <c r="D47" i="26"/>
  <c r="H67" i="17" s="1"/>
  <c r="I33" i="26"/>
  <c r="F13" i="26"/>
  <c r="E23" i="26"/>
  <c r="E26" i="26"/>
  <c r="K34" i="26" s="1"/>
  <c r="E19" i="26"/>
  <c r="E24" i="26"/>
  <c r="E18" i="26"/>
  <c r="E21" i="26"/>
  <c r="E17" i="26"/>
  <c r="E22" i="26"/>
  <c r="E20" i="26"/>
  <c r="E25" i="26"/>
  <c r="H32" i="26"/>
  <c r="C62" i="26"/>
  <c r="I70" i="26" s="1"/>
  <c r="C57" i="26"/>
  <c r="C60" i="26"/>
  <c r="C54" i="26"/>
  <c r="C53" i="26"/>
  <c r="D49" i="26"/>
  <c r="C56" i="26"/>
  <c r="C55" i="26"/>
  <c r="C58" i="26"/>
  <c r="C59" i="26"/>
  <c r="C61" i="26"/>
  <c r="E7" i="26"/>
  <c r="E11" i="26" s="1"/>
  <c r="I11" i="17" s="1"/>
  <c r="K49" i="16"/>
  <c r="L41" i="15" s="1"/>
  <c r="Y20" i="35" s="1"/>
  <c r="V19" i="35"/>
  <c r="C40" i="26"/>
  <c r="C41" i="26" s="1"/>
  <c r="C47" i="26" s="1"/>
  <c r="G67" i="17" s="1"/>
  <c r="K53" i="16"/>
  <c r="U47" i="35"/>
  <c r="Q4" i="26"/>
  <c r="Q5" i="26" s="1"/>
  <c r="Q8" i="26" s="1"/>
  <c r="H64" i="15"/>
  <c r="U42" i="35"/>
  <c r="G64" i="15"/>
  <c r="T42" i="35"/>
  <c r="H35" i="15"/>
  <c r="U16" i="35" s="1"/>
  <c r="U18" i="35"/>
  <c r="G35" i="15"/>
  <c r="T16" i="35" s="1"/>
  <c r="T18" i="35"/>
  <c r="H10" i="15"/>
  <c r="U8" i="35" s="1"/>
  <c r="U10" i="35"/>
  <c r="G10" i="15"/>
  <c r="T8" i="35" s="1"/>
  <c r="T10" i="35"/>
  <c r="K46" i="16"/>
  <c r="AO11" i="35"/>
  <c r="K39" i="15"/>
  <c r="X19" i="35" s="1"/>
  <c r="AM10" i="35"/>
  <c r="H26" i="16"/>
  <c r="V35" i="35"/>
  <c r="J19" i="6"/>
  <c r="V17" i="35"/>
  <c r="I55" i="15"/>
  <c r="V32" i="35" s="1"/>
  <c r="H53" i="15"/>
  <c r="J54" i="15"/>
  <c r="G39" i="26"/>
  <c r="F44" i="26"/>
  <c r="F47" i="26" s="1"/>
  <c r="J67" i="17" s="1"/>
  <c r="G3" i="26"/>
  <c r="F8" i="26"/>
  <c r="F11" i="26" s="1"/>
  <c r="J11" i="17" s="1"/>
  <c r="N19" i="6"/>
  <c r="M61" i="35" s="1"/>
  <c r="P19" i="6"/>
  <c r="O61" i="35" s="1"/>
  <c r="L19" i="6"/>
  <c r="K61" i="35" s="1"/>
  <c r="J66" i="15"/>
  <c r="W40" i="35" s="1"/>
  <c r="H27" i="16"/>
  <c r="G72" i="15"/>
  <c r="C28" i="37" s="1"/>
  <c r="I38" i="15"/>
  <c r="E21" i="37" s="1"/>
  <c r="J33" i="26" l="1"/>
  <c r="U38" i="35"/>
  <c r="D27" i="37"/>
  <c r="T38" i="35"/>
  <c r="C27" i="37"/>
  <c r="K50" i="26"/>
  <c r="M37" i="27"/>
  <c r="M38" i="27" s="1"/>
  <c r="O78" i="17"/>
  <c r="M42" i="27" s="1"/>
  <c r="M43" i="27" s="1"/>
  <c r="N14" i="26"/>
  <c r="P8" i="27"/>
  <c r="P9" i="27" s="1"/>
  <c r="P12" i="27" s="1"/>
  <c r="C14" i="26"/>
  <c r="E8" i="27"/>
  <c r="E9" i="27" s="1"/>
  <c r="E12" i="27" s="1"/>
  <c r="M50" i="26"/>
  <c r="O37" i="27"/>
  <c r="O38" i="27" s="1"/>
  <c r="Q78" i="17"/>
  <c r="O42" i="27" s="1"/>
  <c r="O43" i="27" s="1"/>
  <c r="R22" i="17"/>
  <c r="AO17" i="35"/>
  <c r="H60" i="37"/>
  <c r="G22" i="17"/>
  <c r="E13" i="27" s="1"/>
  <c r="E14" i="27" s="1"/>
  <c r="P37" i="27"/>
  <c r="P38" i="27" s="1"/>
  <c r="N50" i="26"/>
  <c r="R78" i="17"/>
  <c r="P42" i="27" s="1"/>
  <c r="P43" i="27" s="1"/>
  <c r="K37" i="27"/>
  <c r="K38" i="27" s="1"/>
  <c r="I50" i="26"/>
  <c r="M78" i="17"/>
  <c r="K42" i="27" s="1"/>
  <c r="K43" i="27" s="1"/>
  <c r="L39" i="15"/>
  <c r="Y19" i="35" s="1"/>
  <c r="H56" i="37"/>
  <c r="E37" i="27"/>
  <c r="E38" i="27" s="1"/>
  <c r="C50" i="26"/>
  <c r="C51" i="26" s="1"/>
  <c r="C64" i="26" s="1"/>
  <c r="C71" i="26" s="1"/>
  <c r="G72" i="17" s="1"/>
  <c r="AO13" i="35"/>
  <c r="H58" i="37"/>
  <c r="J50" i="26"/>
  <c r="L37" i="27"/>
  <c r="L38" i="27" s="1"/>
  <c r="G78" i="17"/>
  <c r="E42" i="27" s="1"/>
  <c r="E43" i="27" s="1"/>
  <c r="D24" i="37"/>
  <c r="V18" i="35"/>
  <c r="G30" i="26"/>
  <c r="G68" i="26"/>
  <c r="E66" i="26"/>
  <c r="H69" i="26"/>
  <c r="F67" i="26"/>
  <c r="D53" i="26"/>
  <c r="D61" i="26"/>
  <c r="D59" i="26"/>
  <c r="D62" i="26"/>
  <c r="J70" i="26" s="1"/>
  <c r="D57" i="26"/>
  <c r="D60" i="26"/>
  <c r="D55" i="26"/>
  <c r="D58" i="26"/>
  <c r="E49" i="26"/>
  <c r="D56" i="26"/>
  <c r="D54" i="26"/>
  <c r="H31" i="26"/>
  <c r="G23" i="17"/>
  <c r="S23" i="17" s="1"/>
  <c r="I32" i="26"/>
  <c r="F18" i="26"/>
  <c r="G13" i="26"/>
  <c r="F17" i="26"/>
  <c r="F26" i="26"/>
  <c r="L34" i="26" s="1"/>
  <c r="F25" i="26"/>
  <c r="F21" i="26"/>
  <c r="F20" i="26"/>
  <c r="F23" i="26"/>
  <c r="F19" i="26"/>
  <c r="F22" i="26"/>
  <c r="F24" i="26"/>
  <c r="U30" i="35"/>
  <c r="T25" i="35"/>
  <c r="H48" i="15"/>
  <c r="AO10" i="35"/>
  <c r="U25" i="35"/>
  <c r="N76" i="16"/>
  <c r="N77" i="16" s="1"/>
  <c r="T44" i="35"/>
  <c r="O30" i="16"/>
  <c r="G48" i="15"/>
  <c r="I61" i="35"/>
  <c r="K19" i="6"/>
  <c r="V69" i="35"/>
  <c r="K54" i="15"/>
  <c r="W31" i="35"/>
  <c r="H39" i="26"/>
  <c r="G45" i="26"/>
  <c r="G47" i="26" s="1"/>
  <c r="K67" i="17" s="1"/>
  <c r="H3" i="26"/>
  <c r="G9" i="26"/>
  <c r="G11" i="26" s="1"/>
  <c r="K11" i="17" s="1"/>
  <c r="N26" i="16"/>
  <c r="N28" i="16"/>
  <c r="O72" i="16"/>
  <c r="P71" i="16" s="1"/>
  <c r="N45" i="16"/>
  <c r="K66" i="15"/>
  <c r="X40" i="35" s="1"/>
  <c r="I27" i="16"/>
  <c r="U41" i="17"/>
  <c r="H41" i="17" s="1"/>
  <c r="G20" i="20"/>
  <c r="AE40" i="35" s="1"/>
  <c r="G19" i="20"/>
  <c r="M44" i="20"/>
  <c r="AK70" i="35" s="1"/>
  <c r="J43" i="20"/>
  <c r="AH69" i="35" s="1"/>
  <c r="G42" i="20"/>
  <c r="AE68" i="35" s="1"/>
  <c r="S19" i="20" l="1"/>
  <c r="E31" i="37"/>
  <c r="D30" i="37" s="1"/>
  <c r="J32" i="26"/>
  <c r="N88" i="16"/>
  <c r="AS9" i="35"/>
  <c r="C73" i="37"/>
  <c r="I31" i="26"/>
  <c r="AS11" i="35"/>
  <c r="C74" i="37"/>
  <c r="O44" i="16"/>
  <c r="D16" i="37"/>
  <c r="N44" i="16"/>
  <c r="N48" i="16" s="1"/>
  <c r="C80" i="37" s="1"/>
  <c r="C16" i="37"/>
  <c r="C15" i="26"/>
  <c r="C28" i="26" s="1"/>
  <c r="C35" i="26" s="1"/>
  <c r="C52" i="26"/>
  <c r="D65" i="26" s="1"/>
  <c r="AT13" i="35"/>
  <c r="D75" i="37"/>
  <c r="F66" i="26"/>
  <c r="I69" i="26"/>
  <c r="G23" i="26"/>
  <c r="G21" i="26"/>
  <c r="G19" i="26"/>
  <c r="H13" i="26"/>
  <c r="G17" i="26"/>
  <c r="G20" i="26"/>
  <c r="G18" i="26"/>
  <c r="G22" i="26"/>
  <c r="G26" i="26"/>
  <c r="M34" i="26" s="1"/>
  <c r="G24" i="26"/>
  <c r="G25" i="26"/>
  <c r="E54" i="26"/>
  <c r="F49" i="26"/>
  <c r="E61" i="26"/>
  <c r="E60" i="26"/>
  <c r="E56" i="26"/>
  <c r="E55" i="26"/>
  <c r="E53" i="26"/>
  <c r="E62" i="26"/>
  <c r="K70" i="26" s="1"/>
  <c r="E59" i="26"/>
  <c r="E57" i="26"/>
  <c r="E58" i="26"/>
  <c r="K33" i="26"/>
  <c r="H30" i="26"/>
  <c r="H68" i="26"/>
  <c r="G67" i="26"/>
  <c r="O75" i="16"/>
  <c r="N29" i="16"/>
  <c r="AS12" i="35" s="1"/>
  <c r="N27" i="16"/>
  <c r="AS10" i="35" s="1"/>
  <c r="L54" i="15"/>
  <c r="Y31" i="35" s="1"/>
  <c r="X31" i="35"/>
  <c r="M39" i="28"/>
  <c r="AE39" i="35"/>
  <c r="K43" i="28"/>
  <c r="G46" i="20"/>
  <c r="H13" i="16"/>
  <c r="V60" i="35" s="1"/>
  <c r="W52" i="28"/>
  <c r="W49" i="28"/>
  <c r="W60" i="28" s="1"/>
  <c r="M46" i="20"/>
  <c r="Q44" i="20"/>
  <c r="AO70" i="35" s="1"/>
  <c r="J13" i="16"/>
  <c r="X60" i="35" s="1"/>
  <c r="Q46" i="28"/>
  <c r="Q59" i="28" s="1"/>
  <c r="Q43" i="20"/>
  <c r="J46" i="20"/>
  <c r="AH72" i="35" s="1"/>
  <c r="I13" i="16"/>
  <c r="W60" i="35" s="1"/>
  <c r="I39" i="26"/>
  <c r="J39" i="26" s="1"/>
  <c r="K39" i="26" s="1"/>
  <c r="L39" i="26" s="1"/>
  <c r="M39" i="26" s="1"/>
  <c r="N39" i="26" s="1"/>
  <c r="H46" i="26"/>
  <c r="H47" i="26" s="1"/>
  <c r="L67" i="17" s="1"/>
  <c r="S67" i="17" s="1"/>
  <c r="I3" i="26"/>
  <c r="J3" i="26" s="1"/>
  <c r="K3" i="26" s="1"/>
  <c r="L3" i="26" s="1"/>
  <c r="M3" i="26" s="1"/>
  <c r="N3" i="26" s="1"/>
  <c r="H10" i="26"/>
  <c r="H11" i="26" s="1"/>
  <c r="L11" i="17" s="1"/>
  <c r="S11" i="17" s="1"/>
  <c r="H51" i="20"/>
  <c r="AF78" i="35" s="1"/>
  <c r="U47" i="17"/>
  <c r="H31" i="16"/>
  <c r="V72" i="35" s="1"/>
  <c r="U49" i="17"/>
  <c r="H25" i="16"/>
  <c r="V68" i="35" s="1"/>
  <c r="L66" i="15"/>
  <c r="J27" i="16"/>
  <c r="P41" i="17"/>
  <c r="M41" i="17"/>
  <c r="Q41" i="17"/>
  <c r="O41" i="17"/>
  <c r="L41" i="17"/>
  <c r="G41" i="17"/>
  <c r="K41" i="17"/>
  <c r="N41" i="17"/>
  <c r="R41" i="17"/>
  <c r="J41" i="17"/>
  <c r="I41" i="17"/>
  <c r="I68" i="26" l="1"/>
  <c r="J31" i="26"/>
  <c r="G66" i="26"/>
  <c r="G16" i="17"/>
  <c r="G19" i="17" s="1"/>
  <c r="C16" i="26"/>
  <c r="D29" i="26" s="1"/>
  <c r="J69" i="26"/>
  <c r="I30" i="26"/>
  <c r="H67" i="26"/>
  <c r="K32" i="26"/>
  <c r="F59" i="26"/>
  <c r="G49" i="26"/>
  <c r="F55" i="26"/>
  <c r="F62" i="26"/>
  <c r="L70" i="26" s="1"/>
  <c r="F58" i="26"/>
  <c r="F53" i="26"/>
  <c r="F61" i="26"/>
  <c r="F57" i="26"/>
  <c r="F54" i="26"/>
  <c r="F56" i="26"/>
  <c r="F60" i="26"/>
  <c r="H26" i="26"/>
  <c r="N34" i="26" s="1"/>
  <c r="H25" i="26"/>
  <c r="H24" i="26"/>
  <c r="M33" i="26" s="1"/>
  <c r="H23" i="26"/>
  <c r="H22" i="26"/>
  <c r="H21" i="26"/>
  <c r="H19" i="26"/>
  <c r="H17" i="26"/>
  <c r="H20" i="26"/>
  <c r="K31" i="26" s="1"/>
  <c r="I13" i="26"/>
  <c r="H18" i="26"/>
  <c r="L33" i="26"/>
  <c r="M42" i="28"/>
  <c r="H57" i="28"/>
  <c r="I57" i="28" s="1"/>
  <c r="M51" i="20"/>
  <c r="AK78" i="35" s="1"/>
  <c r="AK72" i="35"/>
  <c r="G51" i="20"/>
  <c r="AE78" i="35" s="1"/>
  <c r="AE72" i="35"/>
  <c r="Q46" i="20"/>
  <c r="AO72" i="35" s="1"/>
  <c r="AO69" i="35"/>
  <c r="K27" i="16"/>
  <c r="Y40" i="35"/>
  <c r="J51" i="20"/>
  <c r="AH78" i="35" s="1"/>
  <c r="U104" i="17"/>
  <c r="G104" i="17" s="1"/>
  <c r="S104" i="17" s="1"/>
  <c r="T104" i="17" s="1"/>
  <c r="Q62" i="28"/>
  <c r="S59" i="28"/>
  <c r="S62" i="28" s="1"/>
  <c r="Y60" i="28"/>
  <c r="AA52" i="28"/>
  <c r="W61" i="28"/>
  <c r="Y61" i="28" s="1"/>
  <c r="K55" i="28"/>
  <c r="K58" i="28"/>
  <c r="K62" i="28" s="1"/>
  <c r="O43" i="28"/>
  <c r="Q55" i="28"/>
  <c r="U46" i="28"/>
  <c r="Z59" i="28" s="1"/>
  <c r="Z62" i="28" s="1"/>
  <c r="W55" i="28"/>
  <c r="AA49" i="28"/>
  <c r="H35" i="17"/>
  <c r="I35" i="17"/>
  <c r="J35" i="17"/>
  <c r="K35" i="17"/>
  <c r="L35" i="17"/>
  <c r="M35" i="17"/>
  <c r="N35" i="17"/>
  <c r="O35" i="17"/>
  <c r="P35" i="17"/>
  <c r="Q35" i="17"/>
  <c r="R35" i="17"/>
  <c r="G35" i="17"/>
  <c r="BE26" i="17"/>
  <c r="AX26" i="17"/>
  <c r="AQ26" i="17"/>
  <c r="L32" i="26" l="1"/>
  <c r="J30" i="26"/>
  <c r="J68" i="26"/>
  <c r="K69" i="26"/>
  <c r="I24" i="26"/>
  <c r="I21" i="26"/>
  <c r="I22" i="26"/>
  <c r="I19" i="26"/>
  <c r="I17" i="26"/>
  <c r="I25" i="26"/>
  <c r="I20" i="26"/>
  <c r="J13" i="26"/>
  <c r="I26" i="26"/>
  <c r="I23" i="26"/>
  <c r="I18" i="26"/>
  <c r="I67" i="26"/>
  <c r="G62" i="26"/>
  <c r="M70" i="26" s="1"/>
  <c r="G60" i="26"/>
  <c r="H49" i="26"/>
  <c r="G58" i="26"/>
  <c r="G53" i="26"/>
  <c r="G56" i="26"/>
  <c r="G61" i="26"/>
  <c r="G54" i="26"/>
  <c r="G55" i="26"/>
  <c r="G59" i="26"/>
  <c r="G57" i="26"/>
  <c r="H66" i="26"/>
  <c r="K31" i="16"/>
  <c r="Y72" i="35" s="1"/>
  <c r="Y62" i="28"/>
  <c r="W62" i="28"/>
  <c r="T58" i="28"/>
  <c r="T62" i="28" s="1"/>
  <c r="N58" i="28"/>
  <c r="N62" i="28" s="1"/>
  <c r="O55" i="28"/>
  <c r="U43" i="28"/>
  <c r="AA43" i="28" s="1"/>
  <c r="I70" i="15"/>
  <c r="AF61" i="28"/>
  <c r="U61" i="28"/>
  <c r="AG49" i="28"/>
  <c r="AF60" i="28"/>
  <c r="U60" i="28"/>
  <c r="AA46" i="28"/>
  <c r="J70" i="15"/>
  <c r="U55" i="28"/>
  <c r="BG26" i="17"/>
  <c r="AZ26" i="17"/>
  <c r="AS26" i="17"/>
  <c r="BL25" i="17"/>
  <c r="BI25" i="17"/>
  <c r="BA25" i="17"/>
  <c r="BH25" i="17" s="1"/>
  <c r="G30" i="17"/>
  <c r="H30" i="17" s="1"/>
  <c r="M32" i="26" l="1"/>
  <c r="L31" i="26"/>
  <c r="L69" i="26"/>
  <c r="I66" i="26"/>
  <c r="J67" i="26"/>
  <c r="K68" i="26"/>
  <c r="N33" i="26"/>
  <c r="K30" i="26"/>
  <c r="I49" i="26"/>
  <c r="H58" i="26"/>
  <c r="H53" i="26"/>
  <c r="H56" i="26"/>
  <c r="H61" i="26"/>
  <c r="H54" i="26"/>
  <c r="H59" i="26"/>
  <c r="H57" i="26"/>
  <c r="H55" i="26"/>
  <c r="H62" i="26"/>
  <c r="N70" i="26" s="1"/>
  <c r="H60" i="26"/>
  <c r="J19" i="26"/>
  <c r="K13" i="26"/>
  <c r="J17" i="26"/>
  <c r="J25" i="26"/>
  <c r="J22" i="26"/>
  <c r="J26" i="26"/>
  <c r="J20" i="26"/>
  <c r="J23" i="26"/>
  <c r="J24" i="26"/>
  <c r="J18" i="26"/>
  <c r="L30" i="26" s="1"/>
  <c r="J21" i="26"/>
  <c r="AF59" i="28"/>
  <c r="AF62" i="28" s="1"/>
  <c r="U59" i="28"/>
  <c r="U58" i="28"/>
  <c r="AG43" i="28"/>
  <c r="AL60" i="28"/>
  <c r="AA60" i="28"/>
  <c r="AM49" i="28"/>
  <c r="AG60" i="28" s="1"/>
  <c r="AG46" i="28"/>
  <c r="K70" i="15"/>
  <c r="AA55" i="28"/>
  <c r="S35" i="17"/>
  <c r="S41" i="17"/>
  <c r="S43" i="17"/>
  <c r="M31" i="26" l="1"/>
  <c r="L68" i="26"/>
  <c r="K67" i="26"/>
  <c r="N32" i="26"/>
  <c r="K24" i="26"/>
  <c r="K18" i="26"/>
  <c r="K22" i="26"/>
  <c r="K17" i="26"/>
  <c r="K21" i="26"/>
  <c r="K26" i="26"/>
  <c r="K20" i="26"/>
  <c r="K25" i="26"/>
  <c r="L13" i="26"/>
  <c r="K19" i="26"/>
  <c r="K23" i="26"/>
  <c r="M69" i="26"/>
  <c r="I60" i="26"/>
  <c r="I61" i="26"/>
  <c r="I54" i="26"/>
  <c r="I57" i="26"/>
  <c r="I53" i="26"/>
  <c r="J49" i="26"/>
  <c r="I58" i="26"/>
  <c r="I56" i="26"/>
  <c r="L67" i="26" s="1"/>
  <c r="I59" i="26"/>
  <c r="I55" i="26"/>
  <c r="I62" i="26"/>
  <c r="I51" i="26"/>
  <c r="I64" i="26" s="1"/>
  <c r="J66" i="26"/>
  <c r="AG55" i="28"/>
  <c r="AA58" i="28"/>
  <c r="AM43" i="28"/>
  <c r="AL59" i="28"/>
  <c r="AL62" i="28" s="1"/>
  <c r="AA59" i="28"/>
  <c r="AM46" i="28"/>
  <c r="AG59" i="28" s="1"/>
  <c r="U62" i="28"/>
  <c r="L70" i="15"/>
  <c r="G52" i="17"/>
  <c r="S52" i="17" s="1"/>
  <c r="T52" i="17" s="1"/>
  <c r="G51" i="17"/>
  <c r="S51" i="17" s="1"/>
  <c r="T51" i="17" s="1"/>
  <c r="H47" i="17"/>
  <c r="H53" i="17" s="1"/>
  <c r="I47" i="17"/>
  <c r="I53" i="17" s="1"/>
  <c r="J47" i="17"/>
  <c r="J53" i="17" s="1"/>
  <c r="K47" i="17"/>
  <c r="K53" i="17" s="1"/>
  <c r="L47" i="17"/>
  <c r="M47" i="17"/>
  <c r="M53" i="17" s="1"/>
  <c r="N47" i="17"/>
  <c r="N53" i="17" s="1"/>
  <c r="O47" i="17"/>
  <c r="O53" i="17" s="1"/>
  <c r="P47" i="17"/>
  <c r="P53" i="17" s="1"/>
  <c r="Q47" i="17"/>
  <c r="Q53" i="17" s="1"/>
  <c r="R47" i="17"/>
  <c r="G47" i="17"/>
  <c r="R49" i="17"/>
  <c r="L49" i="17"/>
  <c r="T35" i="17"/>
  <c r="T41" i="17"/>
  <c r="G35" i="19"/>
  <c r="G33" i="17" s="1"/>
  <c r="N31" i="26" l="1"/>
  <c r="N69" i="26"/>
  <c r="J56" i="26"/>
  <c r="K49" i="26"/>
  <c r="J54" i="26"/>
  <c r="L66" i="26" s="1"/>
  <c r="J59" i="26"/>
  <c r="J53" i="26"/>
  <c r="J57" i="26"/>
  <c r="J61" i="26"/>
  <c r="J55" i="26"/>
  <c r="J62" i="26"/>
  <c r="J60" i="26"/>
  <c r="J58" i="26"/>
  <c r="J51" i="26"/>
  <c r="J64" i="26" s="1"/>
  <c r="M30" i="26"/>
  <c r="M68" i="26"/>
  <c r="I52" i="26"/>
  <c r="J65" i="26" s="1"/>
  <c r="L20" i="26"/>
  <c r="L23" i="26"/>
  <c r="M13" i="26"/>
  <c r="L19" i="26"/>
  <c r="L21" i="26"/>
  <c r="L24" i="26"/>
  <c r="L17" i="26"/>
  <c r="L26" i="26"/>
  <c r="L25" i="26"/>
  <c r="L22" i="26"/>
  <c r="L18" i="26"/>
  <c r="K66" i="26"/>
  <c r="AA62" i="28"/>
  <c r="L53" i="17"/>
  <c r="R53" i="17"/>
  <c r="AG58" i="28"/>
  <c r="AG62" i="28" s="1"/>
  <c r="AM55" i="28"/>
  <c r="S49" i="17"/>
  <c r="T49" i="17" s="1"/>
  <c r="S47" i="17"/>
  <c r="G37" i="19"/>
  <c r="H33" i="17"/>
  <c r="I33" i="17" s="1"/>
  <c r="J33" i="17" s="1"/>
  <c r="K33" i="17" s="1"/>
  <c r="L33" i="17" s="1"/>
  <c r="M33" i="17" s="1"/>
  <c r="N33" i="17" s="1"/>
  <c r="O33" i="17" s="1"/>
  <c r="P33" i="17" s="1"/>
  <c r="Q33" i="17" s="1"/>
  <c r="R33" i="17" s="1"/>
  <c r="G17" i="19"/>
  <c r="AW26" i="17" s="1"/>
  <c r="S40" i="17"/>
  <c r="G42" i="17"/>
  <c r="S42" i="17" s="1"/>
  <c r="G24" i="19"/>
  <c r="I28" i="19"/>
  <c r="BE27" i="17" s="1"/>
  <c r="I26" i="19"/>
  <c r="I25" i="19"/>
  <c r="I18" i="19"/>
  <c r="H46" i="17"/>
  <c r="I46" i="17"/>
  <c r="J46" i="17"/>
  <c r="K46" i="17"/>
  <c r="L46" i="17"/>
  <c r="M46" i="17"/>
  <c r="N46" i="17"/>
  <c r="O46" i="17"/>
  <c r="P46" i="17"/>
  <c r="Q46" i="17"/>
  <c r="R46" i="17"/>
  <c r="G46" i="17"/>
  <c r="H21" i="17"/>
  <c r="I21" i="17"/>
  <c r="J21" i="17"/>
  <c r="K21" i="17"/>
  <c r="L21" i="17"/>
  <c r="M21" i="17"/>
  <c r="N21" i="17"/>
  <c r="O21" i="17"/>
  <c r="P21" i="17"/>
  <c r="Q21" i="17"/>
  <c r="R21" i="17"/>
  <c r="G21" i="17"/>
  <c r="H15" i="17"/>
  <c r="H12" i="17"/>
  <c r="F6" i="27" s="1"/>
  <c r="J52" i="26" l="1"/>
  <c r="K65" i="26" s="1"/>
  <c r="N30" i="26"/>
  <c r="M24" i="26"/>
  <c r="M17" i="26"/>
  <c r="M22" i="26"/>
  <c r="M18" i="26"/>
  <c r="M25" i="26"/>
  <c r="M19" i="26"/>
  <c r="M20" i="26"/>
  <c r="N13" i="26"/>
  <c r="M23" i="26"/>
  <c r="M21" i="26"/>
  <c r="M26" i="26"/>
  <c r="K60" i="26"/>
  <c r="K55" i="26"/>
  <c r="K59" i="26"/>
  <c r="K57" i="26"/>
  <c r="K58" i="26"/>
  <c r="K56" i="26"/>
  <c r="N67" i="26" s="1"/>
  <c r="K54" i="26"/>
  <c r="K53" i="26"/>
  <c r="K61" i="26"/>
  <c r="K62" i="26"/>
  <c r="L49" i="26"/>
  <c r="K51" i="26"/>
  <c r="K64" i="26" s="1"/>
  <c r="M67" i="26"/>
  <c r="N68" i="26"/>
  <c r="J71" i="26"/>
  <c r="N72" i="17" s="1"/>
  <c r="H14" i="17"/>
  <c r="F8" i="27" s="1"/>
  <c r="H71" i="17"/>
  <c r="T47" i="17"/>
  <c r="S26" i="17"/>
  <c r="E19" i="27"/>
  <c r="F7" i="27"/>
  <c r="S33" i="17"/>
  <c r="AY26" i="17"/>
  <c r="I61" i="15"/>
  <c r="I82" i="15"/>
  <c r="I84" i="15"/>
  <c r="BD26" i="17"/>
  <c r="K25" i="19"/>
  <c r="K28" i="19"/>
  <c r="G39" i="19"/>
  <c r="G34" i="19"/>
  <c r="K26" i="19"/>
  <c r="I15" i="17"/>
  <c r="D14" i="26" l="1"/>
  <c r="M66" i="26"/>
  <c r="N26" i="26"/>
  <c r="N19" i="26"/>
  <c r="N17" i="26"/>
  <c r="N20" i="26"/>
  <c r="N18" i="26"/>
  <c r="N23" i="26"/>
  <c r="N24" i="26"/>
  <c r="N25" i="26"/>
  <c r="N22" i="26"/>
  <c r="N21" i="26"/>
  <c r="N15" i="26"/>
  <c r="N28" i="26" s="1"/>
  <c r="N16" i="26"/>
  <c r="K52" i="26"/>
  <c r="L65" i="26" s="1"/>
  <c r="M49" i="26"/>
  <c r="L59" i="26"/>
  <c r="L62" i="26"/>
  <c r="L57" i="26"/>
  <c r="L60" i="26"/>
  <c r="L55" i="26"/>
  <c r="L58" i="26"/>
  <c r="L56" i="26"/>
  <c r="L53" i="26"/>
  <c r="L61" i="26"/>
  <c r="L54" i="26"/>
  <c r="K71" i="26"/>
  <c r="O72" i="17" s="1"/>
  <c r="I14" i="17"/>
  <c r="G8" i="27" s="1"/>
  <c r="G9" i="27" s="1"/>
  <c r="I71" i="17"/>
  <c r="I70" i="17" s="1"/>
  <c r="H70" i="17"/>
  <c r="D15" i="26"/>
  <c r="D28" i="26" s="1"/>
  <c r="D35" i="26" s="1"/>
  <c r="H16" i="17" s="1"/>
  <c r="H19" i="17" s="1"/>
  <c r="I12" i="17"/>
  <c r="G6" i="27" s="1"/>
  <c r="J13" i="17"/>
  <c r="E20" i="27"/>
  <c r="Q20" i="27" s="1"/>
  <c r="Q19" i="27"/>
  <c r="F9" i="27"/>
  <c r="F12" i="27" s="1"/>
  <c r="I59" i="15"/>
  <c r="J30" i="6"/>
  <c r="I71" i="35" s="1"/>
  <c r="J15" i="17"/>
  <c r="BB26" i="17"/>
  <c r="BC26" i="17" s="1"/>
  <c r="BA26" i="17"/>
  <c r="G32" i="17"/>
  <c r="BF26" i="17"/>
  <c r="G34" i="17" s="1"/>
  <c r="M25" i="19"/>
  <c r="M28" i="19"/>
  <c r="M26" i="19"/>
  <c r="V36" i="35" l="1"/>
  <c r="E25" i="37"/>
  <c r="E14" i="26"/>
  <c r="M55" i="26"/>
  <c r="M61" i="26"/>
  <c r="M59" i="26"/>
  <c r="M60" i="26"/>
  <c r="M58" i="26"/>
  <c r="M54" i="26"/>
  <c r="M53" i="26"/>
  <c r="N49" i="26"/>
  <c r="M62" i="26"/>
  <c r="M57" i="26"/>
  <c r="M56" i="26"/>
  <c r="M51" i="26"/>
  <c r="M64" i="26" s="1"/>
  <c r="N66" i="26"/>
  <c r="J14" i="17"/>
  <c r="H8" i="27" s="1"/>
  <c r="H9" i="27" s="1"/>
  <c r="J71" i="17"/>
  <c r="J12" i="17"/>
  <c r="H6" i="27" s="1"/>
  <c r="H7" i="27" s="1"/>
  <c r="J69" i="17"/>
  <c r="F37" i="27"/>
  <c r="D50" i="26"/>
  <c r="H78" i="17"/>
  <c r="E50" i="26"/>
  <c r="G37" i="27"/>
  <c r="G38" i="27" s="1"/>
  <c r="I78" i="17"/>
  <c r="G42" i="27" s="1"/>
  <c r="G43" i="27" s="1"/>
  <c r="K13" i="17"/>
  <c r="G7" i="27"/>
  <c r="E15" i="26"/>
  <c r="E28" i="26" s="1"/>
  <c r="D16" i="26"/>
  <c r="E29" i="26" s="1"/>
  <c r="K15" i="17"/>
  <c r="BI26" i="17"/>
  <c r="BH26" i="17"/>
  <c r="H12" i="27" l="1"/>
  <c r="F14" i="26"/>
  <c r="M52" i="26"/>
  <c r="N65" i="26" s="1"/>
  <c r="N58" i="26"/>
  <c r="N56" i="26"/>
  <c r="N61" i="26"/>
  <c r="N57" i="26"/>
  <c r="N60" i="26"/>
  <c r="N53" i="26"/>
  <c r="N54" i="26"/>
  <c r="N62" i="26"/>
  <c r="N59" i="26"/>
  <c r="N55" i="26"/>
  <c r="N51" i="26"/>
  <c r="N64" i="26" s="1"/>
  <c r="N71" i="26" s="1"/>
  <c r="R72" i="17" s="1"/>
  <c r="E51" i="26"/>
  <c r="E64" i="26" s="1"/>
  <c r="D51" i="26"/>
  <c r="D64" i="26" s="1"/>
  <c r="D71" i="26" s="1"/>
  <c r="H72" i="17" s="1"/>
  <c r="J68" i="17"/>
  <c r="H35" i="27" s="1"/>
  <c r="K12" i="17"/>
  <c r="I6" i="27" s="1"/>
  <c r="I7" i="27" s="1"/>
  <c r="K69" i="17"/>
  <c r="K68" i="17" s="1"/>
  <c r="F42" i="27"/>
  <c r="J70" i="17"/>
  <c r="F38" i="27"/>
  <c r="L13" i="17"/>
  <c r="K14" i="17"/>
  <c r="I8" i="27" s="1"/>
  <c r="K71" i="17"/>
  <c r="K70" i="17" s="1"/>
  <c r="E35" i="26"/>
  <c r="I16" i="17" s="1"/>
  <c r="I19" i="17" s="1"/>
  <c r="E16" i="26"/>
  <c r="F29" i="26" s="1"/>
  <c r="F15" i="26"/>
  <c r="F28" i="26" s="1"/>
  <c r="G12" i="27"/>
  <c r="M12" i="17"/>
  <c r="K6" i="27" s="1"/>
  <c r="K7" i="27" s="1"/>
  <c r="L15" i="17"/>
  <c r="BL26" i="17"/>
  <c r="BJ26" i="17"/>
  <c r="H34" i="17"/>
  <c r="I34" i="17" s="1"/>
  <c r="J34" i="17" s="1"/>
  <c r="K34" i="17" s="1"/>
  <c r="L34" i="17" s="1"/>
  <c r="M34" i="17" s="1"/>
  <c r="N34" i="17" s="1"/>
  <c r="O34" i="17" s="1"/>
  <c r="P34" i="17" s="1"/>
  <c r="Q34" i="17" s="1"/>
  <c r="R34" i="17" s="1"/>
  <c r="G47" i="15"/>
  <c r="H47" i="15"/>
  <c r="J79" i="15"/>
  <c r="E79" i="17" s="1"/>
  <c r="K79" i="15"/>
  <c r="L79" i="15"/>
  <c r="I79" i="15"/>
  <c r="J42" i="15"/>
  <c r="K42" i="15"/>
  <c r="L42" i="15"/>
  <c r="I42" i="15"/>
  <c r="J40" i="15"/>
  <c r="K40" i="15"/>
  <c r="L40" i="15"/>
  <c r="I40" i="15"/>
  <c r="J37" i="15"/>
  <c r="K37" i="15"/>
  <c r="L37" i="15"/>
  <c r="I37" i="15"/>
  <c r="J38" i="15"/>
  <c r="F21" i="37" s="1"/>
  <c r="K38" i="15"/>
  <c r="L38" i="15"/>
  <c r="I21" i="16"/>
  <c r="J21" i="16"/>
  <c r="K21" i="16"/>
  <c r="H21" i="16"/>
  <c r="I22" i="16"/>
  <c r="J22" i="16"/>
  <c r="K22" i="16"/>
  <c r="H22" i="16"/>
  <c r="X18" i="35" l="1"/>
  <c r="G21" i="37"/>
  <c r="Y18" i="35"/>
  <c r="H21" i="37"/>
  <c r="W18" i="35"/>
  <c r="E52" i="26"/>
  <c r="F65" i="26" s="1"/>
  <c r="N52" i="26"/>
  <c r="D52" i="26"/>
  <c r="E65" i="26" s="1"/>
  <c r="E71" i="26" s="1"/>
  <c r="I72" i="17" s="1"/>
  <c r="L12" i="17"/>
  <c r="J6" i="27" s="1"/>
  <c r="J7" i="27" s="1"/>
  <c r="L69" i="17"/>
  <c r="L68" i="17" s="1"/>
  <c r="I35" i="27"/>
  <c r="I36" i="27" s="1"/>
  <c r="K78" i="17"/>
  <c r="I42" i="27" s="1"/>
  <c r="I43" i="27" s="1"/>
  <c r="H36" i="27"/>
  <c r="J78" i="17"/>
  <c r="H37" i="27"/>
  <c r="F50" i="26"/>
  <c r="G14" i="26"/>
  <c r="G15" i="26" s="1"/>
  <c r="G28" i="26" s="1"/>
  <c r="L14" i="17"/>
  <c r="H14" i="26" s="1"/>
  <c r="L71" i="17"/>
  <c r="I37" i="27"/>
  <c r="I38" i="27" s="1"/>
  <c r="G50" i="26"/>
  <c r="F43" i="27"/>
  <c r="I81" i="15"/>
  <c r="H24" i="16"/>
  <c r="V67" i="35" s="1"/>
  <c r="V23" i="35"/>
  <c r="F16" i="26"/>
  <c r="G29" i="26" s="1"/>
  <c r="F35" i="26"/>
  <c r="J16" i="17" s="1"/>
  <c r="J19" i="17" s="1"/>
  <c r="I9" i="27"/>
  <c r="N12" i="17"/>
  <c r="L6" i="27" s="1"/>
  <c r="M14" i="17"/>
  <c r="S34" i="17"/>
  <c r="I20" i="16"/>
  <c r="J20" i="16"/>
  <c r="K20" i="16"/>
  <c r="H20" i="16"/>
  <c r="E68" i="18"/>
  <c r="M18" i="17"/>
  <c r="S18" i="17" s="1"/>
  <c r="G61" i="18"/>
  <c r="H61" i="18"/>
  <c r="F61" i="18"/>
  <c r="F45" i="35" s="1"/>
  <c r="F69" i="18"/>
  <c r="F60" i="18"/>
  <c r="F44" i="35" s="1"/>
  <c r="G60" i="18"/>
  <c r="G44" i="35" s="1"/>
  <c r="H60" i="18"/>
  <c r="H44" i="35" s="1"/>
  <c r="G68" i="18"/>
  <c r="J83" i="15"/>
  <c r="R19" i="20"/>
  <c r="P19" i="20"/>
  <c r="O19" i="20"/>
  <c r="M19" i="20"/>
  <c r="J19" i="20"/>
  <c r="U38" i="17"/>
  <c r="K74" i="15" l="1"/>
  <c r="H31" i="37"/>
  <c r="I74" i="15"/>
  <c r="F31" i="37"/>
  <c r="AP39" i="35"/>
  <c r="H32" i="37"/>
  <c r="J74" i="15"/>
  <c r="R81" i="16" s="1"/>
  <c r="G31" i="37"/>
  <c r="AM39" i="35"/>
  <c r="G32" i="37"/>
  <c r="L70" i="17"/>
  <c r="J8" i="27"/>
  <c r="J9" i="27" s="1"/>
  <c r="J12" i="27" s="1"/>
  <c r="G51" i="26"/>
  <c r="G64" i="26" s="1"/>
  <c r="F51" i="26"/>
  <c r="F64" i="26" s="1"/>
  <c r="F71" i="26" s="1"/>
  <c r="J72" i="17" s="1"/>
  <c r="J35" i="27"/>
  <c r="L78" i="17"/>
  <c r="J42" i="27" s="1"/>
  <c r="J43" i="27" s="1"/>
  <c r="H42" i="27"/>
  <c r="H38" i="27"/>
  <c r="AH39" i="35"/>
  <c r="V48" i="35"/>
  <c r="G35" i="26"/>
  <c r="K16" i="17" s="1"/>
  <c r="K19" i="17" s="1"/>
  <c r="J15" i="16"/>
  <c r="X62" i="35" s="1"/>
  <c r="G45" i="35"/>
  <c r="I44" i="35"/>
  <c r="K15" i="16"/>
  <c r="Y62" i="35" s="1"/>
  <c r="H45" i="35"/>
  <c r="I45" i="35" s="1"/>
  <c r="N51" i="20"/>
  <c r="AL78" i="35" s="1"/>
  <c r="AK39" i="35"/>
  <c r="Q51" i="20"/>
  <c r="AO78" i="35" s="1"/>
  <c r="AN39" i="35"/>
  <c r="U105" i="17"/>
  <c r="K51" i="20"/>
  <c r="AI78" i="35" s="1"/>
  <c r="M74" i="17"/>
  <c r="I15" i="16"/>
  <c r="W62" i="35" s="1"/>
  <c r="K8" i="27"/>
  <c r="I14" i="26"/>
  <c r="L7" i="27"/>
  <c r="G16" i="26"/>
  <c r="H29" i="26" s="1"/>
  <c r="I12" i="27"/>
  <c r="H15" i="26"/>
  <c r="H28" i="26" s="1"/>
  <c r="U48" i="17"/>
  <c r="G48" i="17" s="1"/>
  <c r="K25" i="16"/>
  <c r="Y68" i="35" s="1"/>
  <c r="S81" i="16"/>
  <c r="J25" i="16"/>
  <c r="X68" i="35" s="1"/>
  <c r="I25" i="16"/>
  <c r="W68" i="35" s="1"/>
  <c r="Q81" i="16"/>
  <c r="N14" i="17"/>
  <c r="O12" i="17"/>
  <c r="M6" i="27" s="1"/>
  <c r="M7" i="27" s="1"/>
  <c r="N38" i="17"/>
  <c r="L30" i="27" s="1"/>
  <c r="G38" i="17"/>
  <c r="E30" i="27" s="1"/>
  <c r="H38" i="17"/>
  <c r="F30" i="27" s="1"/>
  <c r="Q38" i="17"/>
  <c r="O30" i="27" s="1"/>
  <c r="J38" i="17"/>
  <c r="H30" i="27" s="1"/>
  <c r="O38" i="17"/>
  <c r="M30" i="27" s="1"/>
  <c r="P38" i="17"/>
  <c r="N30" i="27" s="1"/>
  <c r="R38" i="17"/>
  <c r="K38" i="17"/>
  <c r="I30" i="27" s="1"/>
  <c r="L38" i="17"/>
  <c r="J30" i="27" s="1"/>
  <c r="M38" i="17"/>
  <c r="K30" i="27" s="1"/>
  <c r="I38" i="17"/>
  <c r="G30" i="27" s="1"/>
  <c r="K83" i="15"/>
  <c r="F53" i="18"/>
  <c r="F37" i="35" s="1"/>
  <c r="E53" i="18"/>
  <c r="F68" i="18"/>
  <c r="H68" i="18"/>
  <c r="E69" i="18"/>
  <c r="G69" i="18"/>
  <c r="H69" i="18"/>
  <c r="D49" i="20"/>
  <c r="AB75" i="35" s="1"/>
  <c r="D48" i="20"/>
  <c r="J21" i="20"/>
  <c r="M21" i="20"/>
  <c r="P21" i="20"/>
  <c r="G21" i="20"/>
  <c r="E37" i="35" l="1"/>
  <c r="E7" i="37"/>
  <c r="G52" i="26"/>
  <c r="H65" i="26" s="1"/>
  <c r="H43" i="27"/>
  <c r="J36" i="27"/>
  <c r="F52" i="26"/>
  <c r="G65" i="26" s="1"/>
  <c r="G71" i="26" s="1"/>
  <c r="K72" i="17" s="1"/>
  <c r="H50" i="26"/>
  <c r="J37" i="27"/>
  <c r="I73" i="15"/>
  <c r="AE65" i="35"/>
  <c r="AE43" i="35"/>
  <c r="AK65" i="35"/>
  <c r="AK43" i="35"/>
  <c r="AH65" i="35"/>
  <c r="AH43" i="35"/>
  <c r="AN43" i="35"/>
  <c r="AN65" i="35"/>
  <c r="H35" i="26"/>
  <c r="L16" i="17" s="1"/>
  <c r="L19" i="17" s="1"/>
  <c r="I48" i="20"/>
  <c r="AG74" i="35" s="1"/>
  <c r="AB74" i="35"/>
  <c r="R105" i="17"/>
  <c r="R109" i="17" s="1"/>
  <c r="L105" i="17"/>
  <c r="S74" i="17"/>
  <c r="S48" i="17"/>
  <c r="L8" i="27"/>
  <c r="L9" i="27" s="1"/>
  <c r="L12" i="27" s="1"/>
  <c r="J14" i="26"/>
  <c r="I15" i="26"/>
  <c r="I28" i="26" s="1"/>
  <c r="H16" i="26"/>
  <c r="I29" i="26" s="1"/>
  <c r="K9" i="27"/>
  <c r="P30" i="27"/>
  <c r="Q30" i="27" s="1"/>
  <c r="R30" i="27"/>
  <c r="I49" i="20"/>
  <c r="D51" i="20"/>
  <c r="AB78" i="35" s="1"/>
  <c r="P13" i="17"/>
  <c r="O14" i="17"/>
  <c r="S38" i="17"/>
  <c r="T38" i="17" s="1"/>
  <c r="L83" i="15"/>
  <c r="V43" i="35"/>
  <c r="P12" i="17" l="1"/>
  <c r="N6" i="27" s="1"/>
  <c r="N7" i="27" s="1"/>
  <c r="P69" i="17"/>
  <c r="J38" i="27"/>
  <c r="H51" i="26"/>
  <c r="H64" i="26" s="1"/>
  <c r="H71" i="26" s="1"/>
  <c r="L72" i="17" s="1"/>
  <c r="I51" i="20"/>
  <c r="AG78" i="35" s="1"/>
  <c r="AG75" i="35"/>
  <c r="S105" i="17"/>
  <c r="T105" i="17" s="1"/>
  <c r="L109" i="17"/>
  <c r="I35" i="26"/>
  <c r="M16" i="17" s="1"/>
  <c r="M19" i="17" s="1"/>
  <c r="T48" i="17"/>
  <c r="J15" i="26"/>
  <c r="J28" i="26" s="1"/>
  <c r="K12" i="27"/>
  <c r="M8" i="27"/>
  <c r="M9" i="27" s="1"/>
  <c r="M12" i="27" s="1"/>
  <c r="K14" i="26"/>
  <c r="I16" i="26"/>
  <c r="J29" i="26" s="1"/>
  <c r="L49" i="20"/>
  <c r="AJ75" i="35" s="1"/>
  <c r="H29" i="16"/>
  <c r="P15" i="17"/>
  <c r="P71" i="17" s="1"/>
  <c r="Q12" i="17"/>
  <c r="O6" i="27" s="1"/>
  <c r="J71" i="15"/>
  <c r="J24" i="15"/>
  <c r="K24" i="15"/>
  <c r="L24" i="15"/>
  <c r="I24" i="15"/>
  <c r="J20" i="15"/>
  <c r="K20" i="15"/>
  <c r="L20" i="15"/>
  <c r="I20" i="15"/>
  <c r="J12" i="15"/>
  <c r="K12" i="15"/>
  <c r="L12" i="15"/>
  <c r="I12" i="15"/>
  <c r="I14" i="15" s="1"/>
  <c r="I11" i="15" s="1"/>
  <c r="E17" i="37" s="1"/>
  <c r="K28" i="15"/>
  <c r="L28" i="15"/>
  <c r="J28" i="15"/>
  <c r="I28" i="15"/>
  <c r="I30" i="15" s="1"/>
  <c r="P68" i="17" l="1"/>
  <c r="S69" i="17"/>
  <c r="P70" i="17"/>
  <c r="S71" i="17"/>
  <c r="H52" i="26"/>
  <c r="I65" i="26" s="1"/>
  <c r="I71" i="26" s="1"/>
  <c r="M72" i="17" s="1"/>
  <c r="W43" i="35"/>
  <c r="J25" i="6"/>
  <c r="I67" i="35" s="1"/>
  <c r="I27" i="15"/>
  <c r="J30" i="15" s="1"/>
  <c r="P14" i="17"/>
  <c r="L14" i="26" s="1"/>
  <c r="J16" i="26"/>
  <c r="K29" i="26" s="1"/>
  <c r="K15" i="26"/>
  <c r="K28" i="26" s="1"/>
  <c r="O7" i="27"/>
  <c r="Q6" i="27"/>
  <c r="J35" i="26"/>
  <c r="N16" i="17" s="1"/>
  <c r="N19" i="17" s="1"/>
  <c r="K71" i="15"/>
  <c r="O49" i="20"/>
  <c r="AM75" i="35" s="1"/>
  <c r="I29" i="16"/>
  <c r="S13" i="17"/>
  <c r="Q14" i="17"/>
  <c r="I22" i="15"/>
  <c r="I19" i="15" s="1"/>
  <c r="L50" i="26" l="1"/>
  <c r="N37" i="27"/>
  <c r="N35" i="27"/>
  <c r="P78" i="17"/>
  <c r="K35" i="26"/>
  <c r="O16" i="17" s="1"/>
  <c r="O19" i="17" s="1"/>
  <c r="N8" i="27"/>
  <c r="N9" i="27" s="1"/>
  <c r="N12" i="27" s="1"/>
  <c r="V12" i="35"/>
  <c r="J14" i="15"/>
  <c r="J11" i="15" s="1"/>
  <c r="F17" i="37" s="1"/>
  <c r="K16" i="26"/>
  <c r="L29" i="26" s="1"/>
  <c r="L71" i="15"/>
  <c r="Y43" i="35" s="1"/>
  <c r="X43" i="35"/>
  <c r="M14" i="26"/>
  <c r="O8" i="27"/>
  <c r="L15" i="26"/>
  <c r="L28" i="26" s="1"/>
  <c r="Q7" i="27"/>
  <c r="R49" i="20"/>
  <c r="AP75" i="35" s="1"/>
  <c r="J29" i="16"/>
  <c r="S15" i="17"/>
  <c r="H53" i="18"/>
  <c r="H37" i="35" s="1"/>
  <c r="G53" i="18"/>
  <c r="G37" i="35" s="1"/>
  <c r="J22" i="15"/>
  <c r="J19" i="15" s="1"/>
  <c r="W12" i="35" s="1"/>
  <c r="W9" i="35" l="1"/>
  <c r="N42" i="27"/>
  <c r="S78" i="17"/>
  <c r="T78" i="17" s="1"/>
  <c r="N38" i="27"/>
  <c r="Q38" i="27" s="1"/>
  <c r="Q37" i="27"/>
  <c r="N36" i="27"/>
  <c r="Q36" i="27" s="1"/>
  <c r="Q35" i="27"/>
  <c r="L51" i="26"/>
  <c r="L64" i="26" s="1"/>
  <c r="L71" i="26" s="1"/>
  <c r="P72" i="17" s="1"/>
  <c r="V9" i="35"/>
  <c r="L35" i="26"/>
  <c r="P16" i="17" s="1"/>
  <c r="P19" i="17" s="1"/>
  <c r="N71" i="15"/>
  <c r="K29" i="16"/>
  <c r="L16" i="26"/>
  <c r="M29" i="26" s="1"/>
  <c r="I37" i="35"/>
  <c r="O9" i="27"/>
  <c r="Q8" i="27"/>
  <c r="M15" i="26"/>
  <c r="M28" i="26" s="1"/>
  <c r="I53" i="18"/>
  <c r="L52" i="26" l="1"/>
  <c r="M65" i="26" s="1"/>
  <c r="M71" i="26" s="1"/>
  <c r="Q72" i="17" s="1"/>
  <c r="S72" i="17" s="1"/>
  <c r="N43" i="27"/>
  <c r="Q43" i="27" s="1"/>
  <c r="Q42" i="27"/>
  <c r="M35" i="26"/>
  <c r="Q16" i="17" s="1"/>
  <c r="Q19" i="17" s="1"/>
  <c r="M16" i="26"/>
  <c r="N29" i="26" s="1"/>
  <c r="N35" i="26" s="1"/>
  <c r="R16" i="17" s="1"/>
  <c r="S16" i="17" s="1"/>
  <c r="Q9" i="27"/>
  <c r="O12" i="27"/>
  <c r="Q12" i="27" s="1"/>
  <c r="G120" i="19"/>
  <c r="G121" i="19"/>
  <c r="I121" i="19" s="1"/>
  <c r="K121" i="19" s="1"/>
  <c r="M121" i="19" s="1"/>
  <c r="G122" i="19"/>
  <c r="G123" i="19"/>
  <c r="I123" i="19" s="1"/>
  <c r="K123" i="19" s="1"/>
  <c r="M123" i="19" s="1"/>
  <c r="G124" i="19"/>
  <c r="I124" i="19" s="1"/>
  <c r="K124" i="19" s="1"/>
  <c r="M124" i="19" s="1"/>
  <c r="G119" i="19"/>
  <c r="I119" i="19" s="1"/>
  <c r="K119" i="19" s="1"/>
  <c r="M119" i="19" s="1"/>
  <c r="G118" i="19"/>
  <c r="I118" i="19" s="1"/>
  <c r="K118" i="19" s="1"/>
  <c r="M118" i="19" s="1"/>
  <c r="G117" i="19"/>
  <c r="I117" i="19" s="1"/>
  <c r="K117" i="19" s="1"/>
  <c r="M117" i="19" s="1"/>
  <c r="G116" i="19"/>
  <c r="I116" i="19" s="1"/>
  <c r="K116" i="19" s="1"/>
  <c r="M116" i="19" s="1"/>
  <c r="G115" i="19"/>
  <c r="G114" i="19"/>
  <c r="I114" i="19" s="1"/>
  <c r="K114" i="19" s="1"/>
  <c r="G112" i="19"/>
  <c r="I112" i="19" s="1"/>
  <c r="K112" i="19" s="1"/>
  <c r="M112" i="19" s="1"/>
  <c r="G111" i="19"/>
  <c r="I111" i="19" s="1"/>
  <c r="K111" i="19" s="1"/>
  <c r="M111" i="19" s="1"/>
  <c r="I110" i="19"/>
  <c r="K110" i="19" s="1"/>
  <c r="M110" i="19" s="1"/>
  <c r="G110" i="19"/>
  <c r="G109" i="19"/>
  <c r="I109" i="19" s="1"/>
  <c r="G107" i="19"/>
  <c r="I107" i="19" s="1"/>
  <c r="K107" i="19" s="1"/>
  <c r="M107" i="19" s="1"/>
  <c r="G106" i="19"/>
  <c r="G105" i="19"/>
  <c r="G103" i="19"/>
  <c r="I103" i="19" s="1"/>
  <c r="K103" i="19" s="1"/>
  <c r="M103" i="19" s="1"/>
  <c r="G102" i="19"/>
  <c r="I102" i="19" s="1"/>
  <c r="K102" i="19" s="1"/>
  <c r="M102" i="19" s="1"/>
  <c r="G101" i="19"/>
  <c r="I101" i="19" s="1"/>
  <c r="K101" i="19" s="1"/>
  <c r="M101" i="19" s="1"/>
  <c r="G100" i="19"/>
  <c r="I100" i="19" s="1"/>
  <c r="G98" i="19"/>
  <c r="I98" i="19" s="1"/>
  <c r="K98" i="19" s="1"/>
  <c r="M98" i="19" s="1"/>
  <c r="G97" i="19"/>
  <c r="I97" i="19" s="1"/>
  <c r="K97" i="19" s="1"/>
  <c r="M97" i="19" s="1"/>
  <c r="G96" i="19"/>
  <c r="I96" i="19" s="1"/>
  <c r="K96" i="19" s="1"/>
  <c r="M96" i="19" s="1"/>
  <c r="G95" i="19"/>
  <c r="I95" i="19" s="1"/>
  <c r="E113" i="19"/>
  <c r="E108" i="19"/>
  <c r="E104" i="19"/>
  <c r="E99" i="19"/>
  <c r="E94" i="19"/>
  <c r="G90" i="19"/>
  <c r="I90" i="19" s="1"/>
  <c r="K90" i="19" s="1"/>
  <c r="M90" i="19" s="1"/>
  <c r="G91" i="19"/>
  <c r="I91" i="19" s="1"/>
  <c r="K91" i="19" s="1"/>
  <c r="M91" i="19" s="1"/>
  <c r="G92" i="19"/>
  <c r="I92" i="19" s="1"/>
  <c r="K92" i="19" s="1"/>
  <c r="M92" i="19" s="1"/>
  <c r="G93" i="19"/>
  <c r="I93" i="19" s="1"/>
  <c r="K93" i="19" s="1"/>
  <c r="M93" i="19" s="1"/>
  <c r="E88" i="19"/>
  <c r="G89" i="19"/>
  <c r="I89" i="19" s="1"/>
  <c r="K89" i="19" s="1"/>
  <c r="M89" i="19" s="1"/>
  <c r="G87" i="19"/>
  <c r="I87" i="19" s="1"/>
  <c r="K87" i="19" s="1"/>
  <c r="M87" i="19" s="1"/>
  <c r="G86" i="19"/>
  <c r="I86" i="19" s="1"/>
  <c r="E83" i="19"/>
  <c r="G85" i="19"/>
  <c r="I85" i="19" s="1"/>
  <c r="K85" i="19" s="1"/>
  <c r="M85" i="19" s="1"/>
  <c r="G84" i="19"/>
  <c r="I84" i="19" s="1"/>
  <c r="K84" i="19" s="1"/>
  <c r="M84" i="19" s="1"/>
  <c r="E79" i="19"/>
  <c r="E74" i="19"/>
  <c r="E69" i="19"/>
  <c r="E63" i="19"/>
  <c r="E52" i="19"/>
  <c r="G81" i="19"/>
  <c r="I81" i="19" s="1"/>
  <c r="K81" i="19" s="1"/>
  <c r="M81" i="19" s="1"/>
  <c r="G82" i="19"/>
  <c r="I82" i="19" s="1"/>
  <c r="K82" i="19" s="1"/>
  <c r="M82" i="19" s="1"/>
  <c r="G76" i="19"/>
  <c r="I76" i="19" s="1"/>
  <c r="K76" i="19" s="1"/>
  <c r="M76" i="19" s="1"/>
  <c r="G77" i="19"/>
  <c r="I77" i="19" s="1"/>
  <c r="K77" i="19" s="1"/>
  <c r="M77" i="19" s="1"/>
  <c r="G78" i="19"/>
  <c r="I78" i="19" s="1"/>
  <c r="K78" i="19" s="1"/>
  <c r="M78" i="19" s="1"/>
  <c r="G71" i="19"/>
  <c r="I71" i="19" s="1"/>
  <c r="K71" i="19" s="1"/>
  <c r="M71" i="19" s="1"/>
  <c r="I72" i="19"/>
  <c r="K72" i="19" s="1"/>
  <c r="M72" i="19" s="1"/>
  <c r="G73" i="19"/>
  <c r="I73" i="19" s="1"/>
  <c r="K73" i="19" s="1"/>
  <c r="M73" i="19" s="1"/>
  <c r="G80" i="19"/>
  <c r="I80" i="19" s="1"/>
  <c r="K80" i="19" s="1"/>
  <c r="M80" i="19" s="1"/>
  <c r="G65" i="19"/>
  <c r="I65" i="19" s="1"/>
  <c r="K65" i="19" s="1"/>
  <c r="M65" i="19" s="1"/>
  <c r="G66" i="19"/>
  <c r="I66" i="19" s="1"/>
  <c r="K66" i="19" s="1"/>
  <c r="M66" i="19" s="1"/>
  <c r="G67" i="19"/>
  <c r="I67" i="19" s="1"/>
  <c r="K67" i="19" s="1"/>
  <c r="M67" i="19" s="1"/>
  <c r="G68" i="19"/>
  <c r="I68" i="19" s="1"/>
  <c r="K68" i="19" s="1"/>
  <c r="M68" i="19" s="1"/>
  <c r="U28" i="17"/>
  <c r="G54" i="19"/>
  <c r="I54" i="19" s="1"/>
  <c r="K54" i="19" s="1"/>
  <c r="M54" i="19" s="1"/>
  <c r="G55" i="19"/>
  <c r="I55" i="19" s="1"/>
  <c r="K55" i="19" s="1"/>
  <c r="M55" i="19" s="1"/>
  <c r="G56" i="19"/>
  <c r="I56" i="19" s="1"/>
  <c r="K56" i="19" s="1"/>
  <c r="M56" i="19" s="1"/>
  <c r="G57" i="19"/>
  <c r="I57" i="19" s="1"/>
  <c r="K57" i="19" s="1"/>
  <c r="M57" i="19" s="1"/>
  <c r="G58" i="19"/>
  <c r="I58" i="19" s="1"/>
  <c r="K58" i="19" s="1"/>
  <c r="M58" i="19" s="1"/>
  <c r="G59" i="19"/>
  <c r="I59" i="19" s="1"/>
  <c r="K59" i="19" s="1"/>
  <c r="M59" i="19" s="1"/>
  <c r="G60" i="19"/>
  <c r="I60" i="19" s="1"/>
  <c r="K60" i="19" s="1"/>
  <c r="M60" i="19" s="1"/>
  <c r="I61" i="19"/>
  <c r="K61" i="19" s="1"/>
  <c r="M61" i="19" s="1"/>
  <c r="G62" i="19"/>
  <c r="I62" i="19" s="1"/>
  <c r="K62" i="19" s="1"/>
  <c r="M62" i="19" s="1"/>
  <c r="U27" i="17"/>
  <c r="G27" i="17" s="1"/>
  <c r="E21" i="27" s="1"/>
  <c r="E22" i="27" s="1"/>
  <c r="E46" i="19"/>
  <c r="G48" i="19"/>
  <c r="G49" i="19"/>
  <c r="I49" i="19" s="1"/>
  <c r="K49" i="19" s="1"/>
  <c r="M49" i="19" s="1"/>
  <c r="G50" i="19"/>
  <c r="G51" i="19"/>
  <c r="I51" i="19" s="1"/>
  <c r="K51" i="19" s="1"/>
  <c r="M51" i="19" s="1"/>
  <c r="I47" i="19"/>
  <c r="I43" i="19"/>
  <c r="K43" i="19" s="1"/>
  <c r="M43" i="19" s="1"/>
  <c r="I42" i="19"/>
  <c r="R19" i="17" l="1"/>
  <c r="S19" i="17" s="1"/>
  <c r="D8" i="29"/>
  <c r="D9" i="29" s="1"/>
  <c r="I106" i="19"/>
  <c r="D10" i="29"/>
  <c r="D11" i="29" s="1"/>
  <c r="I50" i="19"/>
  <c r="K50" i="19" s="1"/>
  <c r="M50" i="19" s="1"/>
  <c r="I120" i="19"/>
  <c r="K120" i="19" s="1"/>
  <c r="M120" i="19" s="1"/>
  <c r="U97" i="17"/>
  <c r="I122" i="19"/>
  <c r="U36" i="17"/>
  <c r="I53" i="19"/>
  <c r="K42" i="19"/>
  <c r="G104" i="19"/>
  <c r="G108" i="19"/>
  <c r="I108" i="19"/>
  <c r="G113" i="19"/>
  <c r="G88" i="19"/>
  <c r="M88" i="19"/>
  <c r="I88" i="19"/>
  <c r="K88" i="19"/>
  <c r="M83" i="19"/>
  <c r="G83" i="19"/>
  <c r="I83" i="19"/>
  <c r="K83" i="19"/>
  <c r="M79" i="19"/>
  <c r="G79" i="19"/>
  <c r="I79" i="19"/>
  <c r="K79" i="19"/>
  <c r="M74" i="19"/>
  <c r="G74" i="19"/>
  <c r="D6" i="29" s="1"/>
  <c r="K74" i="19"/>
  <c r="I74" i="19"/>
  <c r="M69" i="19"/>
  <c r="G69" i="19"/>
  <c r="I69" i="19"/>
  <c r="K69" i="19"/>
  <c r="G63" i="19"/>
  <c r="G52" i="19"/>
  <c r="I52" i="19"/>
  <c r="G46" i="19"/>
  <c r="I48" i="19"/>
  <c r="K47" i="19"/>
  <c r="E45" i="19"/>
  <c r="M114" i="19"/>
  <c r="I115" i="19"/>
  <c r="K115" i="19" s="1"/>
  <c r="M115" i="19" s="1"/>
  <c r="K109" i="19"/>
  <c r="I105" i="19"/>
  <c r="E8" i="29" s="1"/>
  <c r="E9" i="29" s="1"/>
  <c r="K100" i="19"/>
  <c r="I99" i="19"/>
  <c r="G99" i="19"/>
  <c r="G94" i="19"/>
  <c r="K95" i="19"/>
  <c r="I94" i="19"/>
  <c r="K86" i="19"/>
  <c r="E125" i="19" l="1"/>
  <c r="G39" i="16"/>
  <c r="D16" i="29"/>
  <c r="U37" i="17" s="1"/>
  <c r="M37" i="17" s="1"/>
  <c r="F124" i="19"/>
  <c r="F69" i="19"/>
  <c r="F108" i="19"/>
  <c r="F117" i="19"/>
  <c r="F123" i="19"/>
  <c r="F74" i="19"/>
  <c r="F94" i="19"/>
  <c r="F86" i="19"/>
  <c r="F52" i="19"/>
  <c r="F113" i="19"/>
  <c r="F122" i="19"/>
  <c r="F87" i="19"/>
  <c r="F79" i="19"/>
  <c r="F46" i="19"/>
  <c r="F119" i="19"/>
  <c r="F121" i="19"/>
  <c r="F104" i="19"/>
  <c r="F45" i="19"/>
  <c r="F88" i="19"/>
  <c r="F83" i="19"/>
  <c r="F120" i="19"/>
  <c r="F118" i="19"/>
  <c r="F99" i="19"/>
  <c r="F63" i="19"/>
  <c r="D7" i="29"/>
  <c r="D13" i="29"/>
  <c r="N97" i="17"/>
  <c r="P97" i="17"/>
  <c r="K97" i="17"/>
  <c r="Q97" i="17"/>
  <c r="L97" i="17"/>
  <c r="O97" i="17"/>
  <c r="G97" i="17"/>
  <c r="M97" i="17"/>
  <c r="H97" i="17"/>
  <c r="R97" i="17"/>
  <c r="I97" i="17"/>
  <c r="J97" i="17"/>
  <c r="K106" i="19"/>
  <c r="E10" i="29"/>
  <c r="E11" i="29" s="1"/>
  <c r="K53" i="19"/>
  <c r="U83" i="17"/>
  <c r="K122" i="19"/>
  <c r="M122" i="19" s="1"/>
  <c r="U92" i="17"/>
  <c r="U84" i="17"/>
  <c r="I46" i="19"/>
  <c r="I63" i="19"/>
  <c r="K48" i="19"/>
  <c r="E6" i="29"/>
  <c r="L36" i="17"/>
  <c r="N36" i="17"/>
  <c r="G36" i="17"/>
  <c r="O36" i="17"/>
  <c r="H36" i="17"/>
  <c r="P36" i="17"/>
  <c r="Q36" i="17"/>
  <c r="R36" i="17"/>
  <c r="M36" i="17"/>
  <c r="J36" i="17"/>
  <c r="K36" i="17"/>
  <c r="I36" i="17"/>
  <c r="I28" i="17"/>
  <c r="G23" i="27" s="1"/>
  <c r="G24" i="27" s="1"/>
  <c r="Q28" i="17"/>
  <c r="O23" i="27" s="1"/>
  <c r="O24" i="27" s="1"/>
  <c r="G28" i="17"/>
  <c r="E23" i="27" s="1"/>
  <c r="R28" i="17"/>
  <c r="P23" i="27" s="1"/>
  <c r="P24" i="27" s="1"/>
  <c r="J28" i="17"/>
  <c r="H23" i="27" s="1"/>
  <c r="H24" i="27" s="1"/>
  <c r="L28" i="17"/>
  <c r="J23" i="27" s="1"/>
  <c r="J24" i="27" s="1"/>
  <c r="M28" i="17"/>
  <c r="K23" i="27" s="1"/>
  <c r="K24" i="27" s="1"/>
  <c r="N28" i="17"/>
  <c r="L23" i="27" s="1"/>
  <c r="L24" i="27" s="1"/>
  <c r="O28" i="17"/>
  <c r="M23" i="27" s="1"/>
  <c r="M24" i="27" s="1"/>
  <c r="H28" i="17"/>
  <c r="F23" i="27" s="1"/>
  <c r="F24" i="27" s="1"/>
  <c r="P28" i="17"/>
  <c r="N23" i="27" s="1"/>
  <c r="N24" i="27" s="1"/>
  <c r="K28" i="17"/>
  <c r="I23" i="27" s="1"/>
  <c r="I24" i="27" s="1"/>
  <c r="N27" i="17"/>
  <c r="L21" i="27" s="1"/>
  <c r="L22" i="27" s="1"/>
  <c r="P27" i="17"/>
  <c r="N21" i="27" s="1"/>
  <c r="N22" i="27" s="1"/>
  <c r="J27" i="17"/>
  <c r="H21" i="27" s="1"/>
  <c r="H22" i="27" s="1"/>
  <c r="K27" i="17"/>
  <c r="I21" i="27" s="1"/>
  <c r="I22" i="27" s="1"/>
  <c r="M27" i="17"/>
  <c r="K21" i="27" s="1"/>
  <c r="K22" i="27" s="1"/>
  <c r="O27" i="17"/>
  <c r="M21" i="27" s="1"/>
  <c r="M22" i="27" s="1"/>
  <c r="I27" i="17"/>
  <c r="G21" i="27" s="1"/>
  <c r="G22" i="27" s="1"/>
  <c r="R27" i="17"/>
  <c r="P21" i="27" s="1"/>
  <c r="P22" i="27" s="1"/>
  <c r="H27" i="17"/>
  <c r="F21" i="27" s="1"/>
  <c r="Q27" i="17"/>
  <c r="O21" i="27" s="1"/>
  <c r="O22" i="27" s="1"/>
  <c r="L27" i="17"/>
  <c r="J21" i="27" s="1"/>
  <c r="J22" i="27" s="1"/>
  <c r="M42" i="19"/>
  <c r="G45" i="19"/>
  <c r="E43" i="37" s="1"/>
  <c r="M47" i="19"/>
  <c r="K46" i="19"/>
  <c r="I113" i="19"/>
  <c r="E16" i="29" s="1"/>
  <c r="U93" i="17" s="1"/>
  <c r="K113" i="19"/>
  <c r="M113" i="19"/>
  <c r="K108" i="19"/>
  <c r="M109" i="19"/>
  <c r="M108" i="19" s="1"/>
  <c r="I104" i="19"/>
  <c r="K105" i="19"/>
  <c r="F8" i="29" s="1"/>
  <c r="F9" i="29" s="1"/>
  <c r="M100" i="19"/>
  <c r="M99" i="19" s="1"/>
  <c r="K99" i="19"/>
  <c r="K94" i="19"/>
  <c r="M95" i="19"/>
  <c r="M94" i="19" s="1"/>
  <c r="M86" i="19"/>
  <c r="G37" i="17" l="1"/>
  <c r="I37" i="17"/>
  <c r="N37" i="17"/>
  <c r="K37" i="17"/>
  <c r="H37" i="17"/>
  <c r="P37" i="17"/>
  <c r="R37" i="17"/>
  <c r="O37" i="17"/>
  <c r="L37" i="17"/>
  <c r="J37" i="17"/>
  <c r="Q37" i="17"/>
  <c r="J18" i="6"/>
  <c r="I60" i="35" s="1"/>
  <c r="H124" i="19"/>
  <c r="H94" i="19"/>
  <c r="H86" i="19"/>
  <c r="H52" i="19"/>
  <c r="H99" i="19"/>
  <c r="H45" i="19"/>
  <c r="H123" i="19"/>
  <c r="H74" i="19"/>
  <c r="H113" i="19"/>
  <c r="H122" i="19"/>
  <c r="H104" i="19"/>
  <c r="H120" i="19"/>
  <c r="H46" i="19"/>
  <c r="H108" i="19"/>
  <c r="H121" i="19"/>
  <c r="H88" i="19"/>
  <c r="H69" i="19"/>
  <c r="H119" i="19"/>
  <c r="H83" i="19"/>
  <c r="H63" i="19"/>
  <c r="H117" i="19"/>
  <c r="H118" i="19"/>
  <c r="H87" i="19"/>
  <c r="H79" i="19"/>
  <c r="N93" i="17"/>
  <c r="P93" i="17"/>
  <c r="Q93" i="17"/>
  <c r="K93" i="17"/>
  <c r="G93" i="17"/>
  <c r="M93" i="17"/>
  <c r="I93" i="17"/>
  <c r="R93" i="17"/>
  <c r="J93" i="17"/>
  <c r="L93" i="17"/>
  <c r="H93" i="17"/>
  <c r="O93" i="17"/>
  <c r="O84" i="17"/>
  <c r="M52" i="27" s="1"/>
  <c r="M53" i="27" s="1"/>
  <c r="L84" i="17"/>
  <c r="J52" i="27" s="1"/>
  <c r="J53" i="27" s="1"/>
  <c r="Q84" i="17"/>
  <c r="O52" i="27" s="1"/>
  <c r="O53" i="27" s="1"/>
  <c r="M84" i="17"/>
  <c r="K52" i="27" s="1"/>
  <c r="K53" i="27" s="1"/>
  <c r="P84" i="17"/>
  <c r="N52" i="27" s="1"/>
  <c r="N53" i="27" s="1"/>
  <c r="H84" i="17"/>
  <c r="F52" i="27" s="1"/>
  <c r="F53" i="27" s="1"/>
  <c r="N84" i="17"/>
  <c r="L52" i="27" s="1"/>
  <c r="L53" i="27" s="1"/>
  <c r="R84" i="17"/>
  <c r="P52" i="27" s="1"/>
  <c r="P53" i="27" s="1"/>
  <c r="K84" i="17"/>
  <c r="I52" i="27" s="1"/>
  <c r="I53" i="27" s="1"/>
  <c r="J84" i="17"/>
  <c r="H52" i="27" s="1"/>
  <c r="H53" i="27" s="1"/>
  <c r="G84" i="17"/>
  <c r="I84" i="17"/>
  <c r="G52" i="27" s="1"/>
  <c r="G53" i="27" s="1"/>
  <c r="M106" i="19"/>
  <c r="G10" i="29" s="1"/>
  <c r="G11" i="29" s="1"/>
  <c r="F10" i="29"/>
  <c r="F11" i="29" s="1"/>
  <c r="D15" i="29"/>
  <c r="D14" i="29" s="1"/>
  <c r="F29" i="17" s="1"/>
  <c r="D25" i="27" s="1"/>
  <c r="D12" i="29"/>
  <c r="U29" i="17" s="1"/>
  <c r="M63" i="19"/>
  <c r="K63" i="19"/>
  <c r="H92" i="17"/>
  <c r="L92" i="17"/>
  <c r="G92" i="17"/>
  <c r="Q92" i="17"/>
  <c r="K92" i="17"/>
  <c r="I92" i="17"/>
  <c r="P92" i="17"/>
  <c r="M92" i="17"/>
  <c r="R92" i="17"/>
  <c r="N92" i="17"/>
  <c r="O92" i="17"/>
  <c r="J92" i="17"/>
  <c r="S97" i="17"/>
  <c r="T97" i="17" s="1"/>
  <c r="M46" i="19"/>
  <c r="E7" i="29"/>
  <c r="E13" i="29"/>
  <c r="F6" i="29"/>
  <c r="M53" i="19"/>
  <c r="M52" i="19" s="1"/>
  <c r="K52" i="19"/>
  <c r="M48" i="19"/>
  <c r="G16" i="29" s="1"/>
  <c r="F16" i="29"/>
  <c r="L83" i="17"/>
  <c r="J50" i="27" s="1"/>
  <c r="J51" i="27" s="1"/>
  <c r="Q83" i="17"/>
  <c r="O50" i="27" s="1"/>
  <c r="O51" i="27" s="1"/>
  <c r="R83" i="17"/>
  <c r="P50" i="27" s="1"/>
  <c r="P51" i="27" s="1"/>
  <c r="K83" i="17"/>
  <c r="I50" i="27" s="1"/>
  <c r="I51" i="27" s="1"/>
  <c r="I83" i="17"/>
  <c r="G50" i="27" s="1"/>
  <c r="G51" i="27" s="1"/>
  <c r="P83" i="17"/>
  <c r="N50" i="27" s="1"/>
  <c r="N51" i="27" s="1"/>
  <c r="H83" i="17"/>
  <c r="F50" i="27" s="1"/>
  <c r="F51" i="27" s="1"/>
  <c r="O83" i="17"/>
  <c r="M50" i="27" s="1"/>
  <c r="M51" i="27" s="1"/>
  <c r="J83" i="17"/>
  <c r="H50" i="27" s="1"/>
  <c r="H51" i="27" s="1"/>
  <c r="M83" i="17"/>
  <c r="K50" i="27" s="1"/>
  <c r="K51" i="27" s="1"/>
  <c r="N83" i="17"/>
  <c r="L50" i="27" s="1"/>
  <c r="L51" i="27" s="1"/>
  <c r="G83" i="17"/>
  <c r="Q23" i="27"/>
  <c r="E24" i="27"/>
  <c r="Q24" i="27" s="1"/>
  <c r="F22" i="27"/>
  <c r="Q22" i="27" s="1"/>
  <c r="Q21" i="27"/>
  <c r="S36" i="17"/>
  <c r="T36" i="17" s="1"/>
  <c r="S28" i="17"/>
  <c r="T28" i="17" s="1"/>
  <c r="S27" i="17"/>
  <c r="T27" i="17" s="1"/>
  <c r="I45" i="19"/>
  <c r="F43" i="37" s="1"/>
  <c r="M105" i="19"/>
  <c r="K104" i="19"/>
  <c r="S37" i="17" l="1"/>
  <c r="T37" i="17" s="1"/>
  <c r="L18" i="6"/>
  <c r="K60" i="35" s="1"/>
  <c r="J124" i="19"/>
  <c r="J74" i="19"/>
  <c r="J99" i="19"/>
  <c r="J123" i="19"/>
  <c r="J104" i="19"/>
  <c r="J117" i="19"/>
  <c r="J122" i="19"/>
  <c r="J88" i="19"/>
  <c r="J69" i="19"/>
  <c r="J46" i="19"/>
  <c r="J87" i="19"/>
  <c r="J121" i="19"/>
  <c r="J113" i="19"/>
  <c r="J83" i="19"/>
  <c r="J63" i="19"/>
  <c r="J45" i="19"/>
  <c r="J94" i="19"/>
  <c r="J52" i="19"/>
  <c r="J120" i="19"/>
  <c r="J119" i="19"/>
  <c r="J118" i="19"/>
  <c r="J108" i="19"/>
  <c r="J79" i="19"/>
  <c r="J86" i="19"/>
  <c r="G29" i="17"/>
  <c r="O29" i="17"/>
  <c r="M25" i="27" s="1"/>
  <c r="M26" i="27" s="1"/>
  <c r="H29" i="17"/>
  <c r="F25" i="27" s="1"/>
  <c r="F26" i="27" s="1"/>
  <c r="P29" i="17"/>
  <c r="N25" i="27" s="1"/>
  <c r="N26" i="27" s="1"/>
  <c r="I29" i="17"/>
  <c r="G25" i="27" s="1"/>
  <c r="G26" i="27" s="1"/>
  <c r="Q29" i="17"/>
  <c r="O25" i="27" s="1"/>
  <c r="O26" i="27" s="1"/>
  <c r="J29" i="17"/>
  <c r="H25" i="27" s="1"/>
  <c r="H26" i="27" s="1"/>
  <c r="R29" i="17"/>
  <c r="P25" i="27" s="1"/>
  <c r="P26" i="27" s="1"/>
  <c r="L29" i="17"/>
  <c r="J25" i="27" s="1"/>
  <c r="J26" i="27" s="1"/>
  <c r="K29" i="17"/>
  <c r="I25" i="27" s="1"/>
  <c r="I26" i="27" s="1"/>
  <c r="M29" i="17"/>
  <c r="K25" i="27" s="1"/>
  <c r="K26" i="27" s="1"/>
  <c r="N29" i="17"/>
  <c r="L25" i="27" s="1"/>
  <c r="L26" i="27" s="1"/>
  <c r="E52" i="27"/>
  <c r="S84" i="17"/>
  <c r="T84" i="17" s="1"/>
  <c r="S92" i="17"/>
  <c r="T92" i="17" s="1"/>
  <c r="S93" i="17"/>
  <c r="T93" i="17" s="1"/>
  <c r="M104" i="19"/>
  <c r="M45" i="19" s="1"/>
  <c r="H43" i="37" s="1"/>
  <c r="G8" i="29"/>
  <c r="G9" i="29" s="1"/>
  <c r="F7" i="29"/>
  <c r="F13" i="29"/>
  <c r="E50" i="27"/>
  <c r="S83" i="17"/>
  <c r="T83" i="17" s="1"/>
  <c r="E12" i="29"/>
  <c r="U85" i="17" s="1"/>
  <c r="E15" i="29"/>
  <c r="E14" i="29" s="1"/>
  <c r="F85" i="17" s="1"/>
  <c r="D54" i="27" s="1"/>
  <c r="K45" i="19"/>
  <c r="G43" i="37" s="1"/>
  <c r="G6" i="29"/>
  <c r="I38" i="19"/>
  <c r="G41" i="19"/>
  <c r="I40" i="19"/>
  <c r="K40" i="19" s="1"/>
  <c r="M40" i="19" s="1"/>
  <c r="I36" i="19"/>
  <c r="K36" i="19" s="1"/>
  <c r="M36" i="19" s="1"/>
  <c r="I33" i="19"/>
  <c r="K33" i="19" s="1"/>
  <c r="M33" i="19" s="1"/>
  <c r="G12" i="19"/>
  <c r="I22" i="19"/>
  <c r="I20" i="19"/>
  <c r="K20" i="19" s="1"/>
  <c r="M20" i="19" s="1"/>
  <c r="K18" i="19"/>
  <c r="M18" i="19" s="1"/>
  <c r="I19" i="19"/>
  <c r="K19" i="19" s="1"/>
  <c r="M19" i="19" s="1"/>
  <c r="I29" i="19"/>
  <c r="I14" i="19"/>
  <c r="I13" i="19"/>
  <c r="I23" i="19"/>
  <c r="I27" i="19"/>
  <c r="I21" i="19"/>
  <c r="I16" i="19"/>
  <c r="I15" i="19"/>
  <c r="K15" i="19" s="1"/>
  <c r="M15" i="19" s="1"/>
  <c r="M10" i="19"/>
  <c r="K10" i="19"/>
  <c r="I10" i="19"/>
  <c r="G10" i="19"/>
  <c r="E10" i="19"/>
  <c r="H73" i="15"/>
  <c r="U45" i="35" s="1"/>
  <c r="V45" i="35"/>
  <c r="I76" i="15"/>
  <c r="V46" i="35" s="1"/>
  <c r="J86" i="15"/>
  <c r="J92" i="15"/>
  <c r="K92" i="15" s="1"/>
  <c r="I93" i="15"/>
  <c r="V50" i="35" s="1"/>
  <c r="J93" i="15"/>
  <c r="W50" i="35" s="1"/>
  <c r="K93" i="15"/>
  <c r="X50" i="35" s="1"/>
  <c r="L93" i="15"/>
  <c r="Y50" i="35" s="1"/>
  <c r="N18" i="6" l="1"/>
  <c r="M60" i="35" s="1"/>
  <c r="L124" i="19"/>
  <c r="L113" i="19"/>
  <c r="L123" i="19"/>
  <c r="L94" i="19"/>
  <c r="L118" i="19"/>
  <c r="L83" i="19"/>
  <c r="L122" i="19"/>
  <c r="L108" i="19"/>
  <c r="L46" i="19"/>
  <c r="L45" i="19"/>
  <c r="L121" i="19"/>
  <c r="L87" i="19"/>
  <c r="L79" i="19"/>
  <c r="L69" i="19"/>
  <c r="L120" i="19"/>
  <c r="L99" i="19"/>
  <c r="L52" i="19"/>
  <c r="L119" i="19"/>
  <c r="L117" i="19"/>
  <c r="L104" i="19"/>
  <c r="L86" i="19"/>
  <c r="L74" i="19"/>
  <c r="L63" i="19"/>
  <c r="L88" i="19"/>
  <c r="P18" i="6"/>
  <c r="O60" i="35" s="1"/>
  <c r="N124" i="19"/>
  <c r="N94" i="19"/>
  <c r="N74" i="19"/>
  <c r="N123" i="19"/>
  <c r="N108" i="19"/>
  <c r="N46" i="19"/>
  <c r="N45" i="19"/>
  <c r="N88" i="19"/>
  <c r="N122" i="19"/>
  <c r="N87" i="19"/>
  <c r="N79" i="19"/>
  <c r="N69" i="19"/>
  <c r="N119" i="19"/>
  <c r="N86" i="19"/>
  <c r="N63" i="19"/>
  <c r="N121" i="19"/>
  <c r="N99" i="19"/>
  <c r="N52" i="19"/>
  <c r="N118" i="19"/>
  <c r="N120" i="19"/>
  <c r="N113" i="19"/>
  <c r="N104" i="19"/>
  <c r="N117" i="19"/>
  <c r="N83" i="19"/>
  <c r="K38" i="19"/>
  <c r="M38" i="19" s="1"/>
  <c r="U91" i="17"/>
  <c r="G7" i="29"/>
  <c r="G13" i="29"/>
  <c r="F15" i="29"/>
  <c r="F14" i="29" s="1"/>
  <c r="F12" i="29"/>
  <c r="E51" i="27"/>
  <c r="Q51" i="27" s="1"/>
  <c r="Q50" i="27"/>
  <c r="E53" i="27"/>
  <c r="Q53" i="27" s="1"/>
  <c r="Q52" i="27"/>
  <c r="K23" i="19"/>
  <c r="M23" i="19" s="1"/>
  <c r="AZ27" i="17"/>
  <c r="AP26" i="17"/>
  <c r="AR26" i="17" s="1"/>
  <c r="AT26" i="17" s="1"/>
  <c r="BK26" i="17" s="1"/>
  <c r="G11" i="19"/>
  <c r="E41" i="37" s="1"/>
  <c r="K29" i="19"/>
  <c r="M29" i="19" s="1"/>
  <c r="BG27" i="17"/>
  <c r="J85" i="17"/>
  <c r="H54" i="27" s="1"/>
  <c r="H55" i="27" s="1"/>
  <c r="N85" i="17"/>
  <c r="L54" i="27" s="1"/>
  <c r="L55" i="27" s="1"/>
  <c r="I85" i="17"/>
  <c r="G54" i="27" s="1"/>
  <c r="G55" i="27" s="1"/>
  <c r="O85" i="17"/>
  <c r="M54" i="27" s="1"/>
  <c r="M55" i="27" s="1"/>
  <c r="H85" i="17"/>
  <c r="F54" i="27" s="1"/>
  <c r="F55" i="27" s="1"/>
  <c r="L85" i="17"/>
  <c r="J54" i="27" s="1"/>
  <c r="J55" i="27" s="1"/>
  <c r="R85" i="17"/>
  <c r="P54" i="27" s="1"/>
  <c r="P55" i="27" s="1"/>
  <c r="Q85" i="17"/>
  <c r="O54" i="27" s="1"/>
  <c r="O55" i="27" s="1"/>
  <c r="P85" i="17"/>
  <c r="N54" i="27" s="1"/>
  <c r="N55" i="27" s="1"/>
  <c r="G85" i="17"/>
  <c r="K85" i="17"/>
  <c r="I54" i="27" s="1"/>
  <c r="I55" i="27" s="1"/>
  <c r="M85" i="17"/>
  <c r="K54" i="27" s="1"/>
  <c r="K55" i="27" s="1"/>
  <c r="K16" i="19"/>
  <c r="M16" i="19" s="1"/>
  <c r="AS27" i="17"/>
  <c r="E25" i="27"/>
  <c r="S29" i="17"/>
  <c r="T29" i="17" s="1"/>
  <c r="H72" i="15"/>
  <c r="D28" i="37" s="1"/>
  <c r="O76" i="16"/>
  <c r="H14" i="16"/>
  <c r="V61" i="35" s="1"/>
  <c r="H33" i="16"/>
  <c r="V74" i="35" s="1"/>
  <c r="L48" i="20"/>
  <c r="K86" i="15"/>
  <c r="J85" i="15"/>
  <c r="J73" i="15"/>
  <c r="W45" i="35" s="1"/>
  <c r="O47" i="20"/>
  <c r="AM73" i="35" s="1"/>
  <c r="K22" i="19"/>
  <c r="M22" i="19" s="1"/>
  <c r="AX27" i="17"/>
  <c r="K14" i="19"/>
  <c r="M14" i="19" s="1"/>
  <c r="AQ27" i="17"/>
  <c r="K13" i="19"/>
  <c r="I90" i="15"/>
  <c r="K27" i="19"/>
  <c r="I24" i="19"/>
  <c r="K21" i="19"/>
  <c r="I17" i="19"/>
  <c r="AW27" i="17" s="1"/>
  <c r="L92" i="15"/>
  <c r="J87" i="15"/>
  <c r="J76" i="15"/>
  <c r="K75" i="15"/>
  <c r="I35" i="19"/>
  <c r="I12" i="19"/>
  <c r="AP27" i="17" s="1"/>
  <c r="U44" i="35" l="1"/>
  <c r="U51" i="35" s="1"/>
  <c r="H95" i="15"/>
  <c r="O34" i="16" s="1"/>
  <c r="D77" i="37" s="1"/>
  <c r="O48" i="20"/>
  <c r="AM74" i="35" s="1"/>
  <c r="W46" i="35"/>
  <c r="L51" i="20"/>
  <c r="AJ74" i="35"/>
  <c r="E26" i="27"/>
  <c r="Q26" i="27" s="1"/>
  <c r="Q25" i="27"/>
  <c r="G15" i="29"/>
  <c r="G14" i="29" s="1"/>
  <c r="G12" i="29"/>
  <c r="I41" i="19"/>
  <c r="G89" i="17"/>
  <c r="L91" i="17"/>
  <c r="I91" i="17"/>
  <c r="N91" i="17"/>
  <c r="G91" i="17"/>
  <c r="O91" i="17"/>
  <c r="Q91" i="17"/>
  <c r="K91" i="17"/>
  <c r="P91" i="17"/>
  <c r="H91" i="17"/>
  <c r="M91" i="17"/>
  <c r="J91" i="17"/>
  <c r="R91" i="17"/>
  <c r="E54" i="27"/>
  <c r="S85" i="17"/>
  <c r="T85" i="17" s="1"/>
  <c r="H32" i="17"/>
  <c r="I32" i="17" s="1"/>
  <c r="G88" i="17"/>
  <c r="I33" i="16"/>
  <c r="W74" i="35" s="1"/>
  <c r="I14" i="16"/>
  <c r="W61" i="35" s="1"/>
  <c r="O51" i="20"/>
  <c r="L86" i="15"/>
  <c r="L85" i="15" s="1"/>
  <c r="K85" i="15"/>
  <c r="R47" i="20"/>
  <c r="AP73" i="35" s="1"/>
  <c r="O88" i="16"/>
  <c r="O36" i="16" s="1"/>
  <c r="P75" i="16"/>
  <c r="O77" i="16"/>
  <c r="O26" i="16"/>
  <c r="O28" i="16"/>
  <c r="O45" i="16"/>
  <c r="O48" i="16" s="1"/>
  <c r="AV26" i="17"/>
  <c r="BM26" i="17" s="1"/>
  <c r="G31" i="17" s="1"/>
  <c r="H31" i="17" s="1"/>
  <c r="J82" i="15"/>
  <c r="J84" i="15"/>
  <c r="AY27" i="17"/>
  <c r="I39" i="19"/>
  <c r="BD27" i="17"/>
  <c r="M13" i="19"/>
  <c r="K12" i="19"/>
  <c r="AR27" i="17"/>
  <c r="AT27" i="17" s="1"/>
  <c r="J90" i="15"/>
  <c r="J91" i="15" s="1"/>
  <c r="G32" i="19"/>
  <c r="G31" i="19" s="1"/>
  <c r="E42" i="37" s="1"/>
  <c r="I91" i="15"/>
  <c r="I88" i="15" s="1"/>
  <c r="M27" i="19"/>
  <c r="K24" i="19"/>
  <c r="I34" i="19"/>
  <c r="M21" i="19"/>
  <c r="K17" i="19"/>
  <c r="I11" i="19"/>
  <c r="F41" i="37" s="1"/>
  <c r="K87" i="15"/>
  <c r="K76" i="15"/>
  <c r="L75" i="15"/>
  <c r="N75" i="15" s="1"/>
  <c r="K73" i="15"/>
  <c r="X45" i="35" s="1"/>
  <c r="K35" i="19"/>
  <c r="K41" i="19" s="1"/>
  <c r="I37" i="19"/>
  <c r="O27" i="16" l="1"/>
  <c r="AT10" i="35" s="1"/>
  <c r="D73" i="37"/>
  <c r="AT11" i="35"/>
  <c r="D74" i="37"/>
  <c r="P49" i="16"/>
  <c r="H34" i="16" s="1"/>
  <c r="D80" i="37"/>
  <c r="O53" i="16"/>
  <c r="AT19" i="35"/>
  <c r="D78" i="37"/>
  <c r="V49" i="35"/>
  <c r="H32" i="16"/>
  <c r="K90" i="15"/>
  <c r="K91" i="15" s="1"/>
  <c r="K88" i="15" s="1"/>
  <c r="X49" i="35" s="1"/>
  <c r="AT9" i="35"/>
  <c r="R48" i="20"/>
  <c r="AP74" i="35" s="1"/>
  <c r="X46" i="35"/>
  <c r="O29" i="16"/>
  <c r="AT12" i="35" s="1"/>
  <c r="O37" i="16"/>
  <c r="AT20" i="35" s="1"/>
  <c r="K82" i="15"/>
  <c r="N25" i="6"/>
  <c r="M67" i="35" s="1"/>
  <c r="AM78" i="35"/>
  <c r="L25" i="6"/>
  <c r="K67" i="35" s="1"/>
  <c r="AJ78" i="35"/>
  <c r="P39" i="16"/>
  <c r="P40" i="16" s="1"/>
  <c r="H89" i="17"/>
  <c r="I89" i="17" s="1"/>
  <c r="J89" i="17" s="1"/>
  <c r="K89" i="17" s="1"/>
  <c r="L89" i="17" s="1"/>
  <c r="M89" i="17" s="1"/>
  <c r="N89" i="17" s="1"/>
  <c r="O89" i="17" s="1"/>
  <c r="P89" i="17" s="1"/>
  <c r="Q89" i="17" s="1"/>
  <c r="R89" i="17" s="1"/>
  <c r="Q54" i="27"/>
  <c r="E55" i="27"/>
  <c r="Q55" i="27" s="1"/>
  <c r="S91" i="17"/>
  <c r="T91" i="17" s="1"/>
  <c r="L73" i="15"/>
  <c r="Y45" i="35" s="1"/>
  <c r="J14" i="16"/>
  <c r="X61" i="35" s="1"/>
  <c r="J33" i="16"/>
  <c r="X74" i="35" s="1"/>
  <c r="H96" i="15"/>
  <c r="O41" i="16"/>
  <c r="D79" i="37" s="1"/>
  <c r="J32" i="17"/>
  <c r="J81" i="15"/>
  <c r="BA27" i="17"/>
  <c r="BB27" i="17"/>
  <c r="BC27" i="17" s="1"/>
  <c r="BF27" i="17"/>
  <c r="G90" i="17" s="1"/>
  <c r="K84" i="15"/>
  <c r="I31" i="17"/>
  <c r="AV27" i="17"/>
  <c r="M12" i="19"/>
  <c r="J88" i="15"/>
  <c r="W49" i="35" s="1"/>
  <c r="I32" i="19"/>
  <c r="I31" i="19" s="1"/>
  <c r="F42" i="37" s="1"/>
  <c r="G44" i="19"/>
  <c r="G125" i="19"/>
  <c r="M24" i="19"/>
  <c r="K34" i="19"/>
  <c r="K39" i="19"/>
  <c r="M17" i="19"/>
  <c r="K11" i="19"/>
  <c r="G41" i="37" s="1"/>
  <c r="L87" i="15"/>
  <c r="L76" i="15"/>
  <c r="M35" i="19"/>
  <c r="K37" i="19"/>
  <c r="E81" i="37" l="1"/>
  <c r="P50" i="16"/>
  <c r="R51" i="20"/>
  <c r="AP78" i="35" s="1"/>
  <c r="S89" i="17"/>
  <c r="W48" i="35"/>
  <c r="I32" i="16"/>
  <c r="K81" i="15"/>
  <c r="K14" i="16"/>
  <c r="Y61" i="35" s="1"/>
  <c r="Y46" i="35"/>
  <c r="I56" i="15"/>
  <c r="V75" i="35"/>
  <c r="AT17" i="35"/>
  <c r="O42" i="16"/>
  <c r="O35" i="16"/>
  <c r="AT18" i="35" s="1"/>
  <c r="K32" i="19"/>
  <c r="R39" i="16" s="1"/>
  <c r="R40" i="16" s="1"/>
  <c r="H11" i="19"/>
  <c r="H44" i="19"/>
  <c r="J17" i="6"/>
  <c r="I59" i="35" s="1"/>
  <c r="Q39" i="16"/>
  <c r="Q40" i="16" s="1"/>
  <c r="H90" i="17"/>
  <c r="I90" i="17" s="1"/>
  <c r="J90" i="17" s="1"/>
  <c r="K90" i="17" s="1"/>
  <c r="L90" i="17" s="1"/>
  <c r="M90" i="17" s="1"/>
  <c r="N90" i="17" s="1"/>
  <c r="O90" i="17" s="1"/>
  <c r="P90" i="17" s="1"/>
  <c r="Q90" i="17" s="1"/>
  <c r="R90" i="17" s="1"/>
  <c r="K33" i="16"/>
  <c r="Y74" i="35" s="1"/>
  <c r="K32" i="17"/>
  <c r="L84" i="15"/>
  <c r="L82" i="15"/>
  <c r="BI27" i="17"/>
  <c r="BL27" i="17" s="1"/>
  <c r="BH27" i="17"/>
  <c r="BK27" i="17" s="1"/>
  <c r="H88" i="17" s="1"/>
  <c r="J31" i="17"/>
  <c r="L90" i="15"/>
  <c r="L91" i="15" s="1"/>
  <c r="L88" i="15" s="1"/>
  <c r="Y49" i="35" s="1"/>
  <c r="H31" i="19"/>
  <c r="M34" i="19"/>
  <c r="M39" i="19"/>
  <c r="M11" i="19"/>
  <c r="H41" i="37" s="1"/>
  <c r="I44" i="19"/>
  <c r="J11" i="19" s="1"/>
  <c r="I125" i="19"/>
  <c r="M37" i="19"/>
  <c r="M41" i="19"/>
  <c r="P25" i="6" l="1"/>
  <c r="O67" i="35" s="1"/>
  <c r="X48" i="35"/>
  <c r="J32" i="16"/>
  <c r="K31" i="19"/>
  <c r="K44" i="19" s="1"/>
  <c r="G50" i="17"/>
  <c r="V33" i="35"/>
  <c r="BJ27" i="17"/>
  <c r="BM27" i="17" s="1"/>
  <c r="G87" i="17" s="1"/>
  <c r="I88" i="17"/>
  <c r="J88" i="17" s="1"/>
  <c r="K88" i="17" s="1"/>
  <c r="L88" i="17" s="1"/>
  <c r="M88" i="17" s="1"/>
  <c r="S90" i="17"/>
  <c r="L32" i="17"/>
  <c r="L81" i="15"/>
  <c r="K31" i="17"/>
  <c r="M32" i="19"/>
  <c r="J44" i="19"/>
  <c r="L17" i="6"/>
  <c r="K59" i="35" s="1"/>
  <c r="J31" i="19"/>
  <c r="K125" i="19" l="1"/>
  <c r="G42" i="37"/>
  <c r="Y48" i="35"/>
  <c r="K32" i="16"/>
  <c r="G53" i="17"/>
  <c r="S50" i="17"/>
  <c r="S53" i="17" s="1"/>
  <c r="M31" i="19"/>
  <c r="S39" i="16"/>
  <c r="S40" i="16" s="1"/>
  <c r="N88" i="17"/>
  <c r="O88" i="17"/>
  <c r="P88" i="17" s="1"/>
  <c r="Q88" i="17" s="1"/>
  <c r="R88" i="17" s="1"/>
  <c r="H87" i="17"/>
  <c r="I87" i="17" s="1"/>
  <c r="M32" i="17"/>
  <c r="L31" i="17"/>
  <c r="L44" i="19"/>
  <c r="N17" i="6"/>
  <c r="M59" i="35" s="1"/>
  <c r="L11" i="19"/>
  <c r="L31" i="19"/>
  <c r="I69" i="15"/>
  <c r="J62" i="15"/>
  <c r="J58" i="15"/>
  <c r="T12" i="6"/>
  <c r="J45" i="15"/>
  <c r="F22" i="37" s="1"/>
  <c r="I26" i="15"/>
  <c r="I23" i="15" s="1"/>
  <c r="K22" i="15"/>
  <c r="K14" i="15"/>
  <c r="H50" i="15"/>
  <c r="U28" i="35" s="1"/>
  <c r="I50" i="15"/>
  <c r="V28" i="35" s="1"/>
  <c r="J50" i="15"/>
  <c r="W28" i="35" s="1"/>
  <c r="K50" i="15"/>
  <c r="X28" i="35" s="1"/>
  <c r="L50" i="15"/>
  <c r="Y28" i="35" s="1"/>
  <c r="G50" i="15"/>
  <c r="T28" i="35" s="1"/>
  <c r="M44" i="19" l="1"/>
  <c r="H42" i="37"/>
  <c r="W23" i="35"/>
  <c r="I26" i="16"/>
  <c r="W69" i="35" s="1"/>
  <c r="W35" i="35"/>
  <c r="N31" i="19"/>
  <c r="N44" i="19"/>
  <c r="N11" i="19"/>
  <c r="P17" i="6"/>
  <c r="O59" i="35" s="1"/>
  <c r="M125" i="19"/>
  <c r="J87" i="17"/>
  <c r="S88" i="17"/>
  <c r="K45" i="15"/>
  <c r="G22" i="37" s="1"/>
  <c r="I24" i="16"/>
  <c r="W67" i="35" s="1"/>
  <c r="H28" i="16"/>
  <c r="V70" i="35" s="1"/>
  <c r="H12" i="16"/>
  <c r="V59" i="35" s="1"/>
  <c r="K18" i="6"/>
  <c r="K25" i="6"/>
  <c r="K17" i="6"/>
  <c r="K24" i="6"/>
  <c r="K23" i="6"/>
  <c r="K29" i="6"/>
  <c r="K30" i="6"/>
  <c r="O32" i="17"/>
  <c r="N32" i="17"/>
  <c r="L12" i="6"/>
  <c r="U12" i="6"/>
  <c r="V12" i="6" s="1"/>
  <c r="N31" i="17"/>
  <c r="M31" i="17"/>
  <c r="K62" i="15"/>
  <c r="J61" i="15"/>
  <c r="J69" i="15"/>
  <c r="I68" i="15"/>
  <c r="K19" i="15"/>
  <c r="K58" i="15"/>
  <c r="J21" i="6"/>
  <c r="K11" i="15"/>
  <c r="G17" i="37" s="1"/>
  <c r="I8" i="15"/>
  <c r="V7" i="35" s="1"/>
  <c r="J32" i="15"/>
  <c r="I35" i="16" s="1"/>
  <c r="W76" i="35" s="1"/>
  <c r="K32" i="15"/>
  <c r="J35" i="16" s="1"/>
  <c r="X76" i="35" s="1"/>
  <c r="L32" i="15"/>
  <c r="K35" i="16" s="1"/>
  <c r="Y76" i="35" s="1"/>
  <c r="I32" i="15"/>
  <c r="I31" i="15" s="1"/>
  <c r="E19" i="37" s="1"/>
  <c r="J17" i="15"/>
  <c r="I19" i="16"/>
  <c r="W65" i="35" s="1"/>
  <c r="J19" i="16"/>
  <c r="X65" i="35" s="1"/>
  <c r="K19" i="16"/>
  <c r="Y65" i="35" s="1"/>
  <c r="H19" i="16"/>
  <c r="X23" i="35" l="1"/>
  <c r="V65" i="35"/>
  <c r="I64" i="15"/>
  <c r="V42" i="35"/>
  <c r="L14" i="6"/>
  <c r="K54" i="35"/>
  <c r="J26" i="16"/>
  <c r="X69" i="35" s="1"/>
  <c r="X35" i="35"/>
  <c r="L22" i="15"/>
  <c r="L19" i="15" s="1"/>
  <c r="Y12" i="35" s="1"/>
  <c r="X12" i="35"/>
  <c r="L14" i="15"/>
  <c r="L11" i="15" s="1"/>
  <c r="H17" i="37" s="1"/>
  <c r="X9" i="35"/>
  <c r="V14" i="35"/>
  <c r="K21" i="6"/>
  <c r="I63" i="35"/>
  <c r="J26" i="15"/>
  <c r="J23" i="15" s="1"/>
  <c r="V13" i="35"/>
  <c r="O73" i="17"/>
  <c r="G73" i="17"/>
  <c r="K73" i="17"/>
  <c r="J73" i="17"/>
  <c r="H73" i="17"/>
  <c r="N73" i="17"/>
  <c r="M73" i="17"/>
  <c r="R73" i="17"/>
  <c r="I73" i="17"/>
  <c r="P73" i="17"/>
  <c r="L73" i="17"/>
  <c r="Q73" i="17"/>
  <c r="K87" i="17"/>
  <c r="I28" i="16"/>
  <c r="W70" i="35" s="1"/>
  <c r="I12" i="16"/>
  <c r="W59" i="35" s="1"/>
  <c r="J59" i="15"/>
  <c r="L30" i="6"/>
  <c r="K71" i="35" s="1"/>
  <c r="L45" i="15"/>
  <c r="H22" i="37" s="1"/>
  <c r="J24" i="16"/>
  <c r="X67" i="35" s="1"/>
  <c r="P32" i="17"/>
  <c r="N12" i="6"/>
  <c r="O31" i="17"/>
  <c r="K69" i="15"/>
  <c r="L69" i="15" s="1"/>
  <c r="N69" i="15" s="1"/>
  <c r="J68" i="15"/>
  <c r="L62" i="15"/>
  <c r="L61" i="15" s="1"/>
  <c r="K61" i="15"/>
  <c r="L58" i="15"/>
  <c r="H35" i="16"/>
  <c r="V76" i="35" s="1"/>
  <c r="N13" i="15"/>
  <c r="N25" i="15"/>
  <c r="I51" i="15"/>
  <c r="V29" i="35" s="1"/>
  <c r="N21" i="15"/>
  <c r="N29" i="15"/>
  <c r="H8" i="15"/>
  <c r="U7" i="35" s="1"/>
  <c r="J8" i="15"/>
  <c r="W7" i="35" s="1"/>
  <c r="W36" i="35" l="1"/>
  <c r="F25" i="37"/>
  <c r="K56" i="35"/>
  <c r="F10" i="37"/>
  <c r="V38" i="35"/>
  <c r="E27" i="37"/>
  <c r="Y9" i="35"/>
  <c r="P76" i="16"/>
  <c r="P77" i="16" s="1"/>
  <c r="J64" i="15"/>
  <c r="W42" i="35"/>
  <c r="K24" i="16"/>
  <c r="Y67" i="35" s="1"/>
  <c r="Y23" i="35"/>
  <c r="L21" i="6"/>
  <c r="K63" i="35" s="1"/>
  <c r="N14" i="6"/>
  <c r="M54" i="35"/>
  <c r="J27" i="15"/>
  <c r="K26" i="16"/>
  <c r="Y69" i="35" s="1"/>
  <c r="Y35" i="35"/>
  <c r="J31" i="15"/>
  <c r="F19" i="37" s="1"/>
  <c r="V15" i="35"/>
  <c r="K26" i="15"/>
  <c r="K23" i="15" s="1"/>
  <c r="W13" i="35"/>
  <c r="P39" i="27"/>
  <c r="P40" i="27" s="1"/>
  <c r="P41" i="27" s="1"/>
  <c r="R75" i="17"/>
  <c r="H39" i="27"/>
  <c r="H40" i="27" s="1"/>
  <c r="H41" i="27" s="1"/>
  <c r="J75" i="17"/>
  <c r="I39" i="27"/>
  <c r="I40" i="27" s="1"/>
  <c r="I41" i="27" s="1"/>
  <c r="K75" i="17"/>
  <c r="P12" i="6"/>
  <c r="L39" i="27"/>
  <c r="L40" i="27" s="1"/>
  <c r="L41" i="27" s="1"/>
  <c r="N75" i="17"/>
  <c r="F39" i="27"/>
  <c r="F40" i="27" s="1"/>
  <c r="F41" i="27" s="1"/>
  <c r="H75" i="17"/>
  <c r="J39" i="27"/>
  <c r="J40" i="27" s="1"/>
  <c r="J41" i="27" s="1"/>
  <c r="L75" i="17"/>
  <c r="M30" i="6"/>
  <c r="N39" i="27"/>
  <c r="N40" i="27" s="1"/>
  <c r="N41" i="27" s="1"/>
  <c r="P75" i="17"/>
  <c r="G75" i="17"/>
  <c r="E39" i="27"/>
  <c r="S73" i="17"/>
  <c r="K39" i="27"/>
  <c r="K40" i="27" s="1"/>
  <c r="K41" i="27" s="1"/>
  <c r="M75" i="17"/>
  <c r="M15" i="6"/>
  <c r="M24" i="6"/>
  <c r="M23" i="6"/>
  <c r="M29" i="6"/>
  <c r="M19" i="6"/>
  <c r="M18" i="6"/>
  <c r="M25" i="6"/>
  <c r="M17" i="6"/>
  <c r="O39" i="27"/>
  <c r="O40" i="27" s="1"/>
  <c r="O41" i="27" s="1"/>
  <c r="Q75" i="17"/>
  <c r="G39" i="27"/>
  <c r="G40" i="27" s="1"/>
  <c r="G41" i="27" s="1"/>
  <c r="I75" i="17"/>
  <c r="M39" i="27"/>
  <c r="M40" i="27" s="1"/>
  <c r="M41" i="27" s="1"/>
  <c r="O75" i="17"/>
  <c r="L87" i="17"/>
  <c r="K59" i="15"/>
  <c r="N30" i="6"/>
  <c r="L59" i="15"/>
  <c r="P30" i="6"/>
  <c r="O71" i="35" s="1"/>
  <c r="J28" i="16"/>
  <c r="X70" i="35" s="1"/>
  <c r="J12" i="16"/>
  <c r="X59" i="35" s="1"/>
  <c r="Q32" i="17"/>
  <c r="P31" i="17"/>
  <c r="K68" i="15"/>
  <c r="G8" i="15"/>
  <c r="H51" i="15"/>
  <c r="U29" i="35" s="1"/>
  <c r="O29" i="15"/>
  <c r="O21" i="15"/>
  <c r="J51" i="15"/>
  <c r="W29" i="35" s="1"/>
  <c r="O25" i="15"/>
  <c r="O13" i="15"/>
  <c r="K8" i="15"/>
  <c r="X7" i="35" s="1"/>
  <c r="X36" i="35" l="1"/>
  <c r="G25" i="37"/>
  <c r="Y36" i="35"/>
  <c r="H25" i="37"/>
  <c r="M56" i="35"/>
  <c r="G10" i="37"/>
  <c r="W38" i="35"/>
  <c r="F27" i="37"/>
  <c r="P88" i="16"/>
  <c r="Q75" i="16"/>
  <c r="Q76" i="16"/>
  <c r="K30" i="15"/>
  <c r="K27" i="15" s="1"/>
  <c r="M21" i="6"/>
  <c r="K64" i="15"/>
  <c r="X42" i="35"/>
  <c r="W14" i="35"/>
  <c r="P14" i="6"/>
  <c r="O54" i="35"/>
  <c r="G51" i="15"/>
  <c r="T29" i="35" s="1"/>
  <c r="T7" i="35"/>
  <c r="O30" i="6"/>
  <c r="M71" i="35"/>
  <c r="L26" i="15"/>
  <c r="L23" i="15" s="1"/>
  <c r="Y13" i="35" s="1"/>
  <c r="X13" i="35"/>
  <c r="K31" i="15"/>
  <c r="G19" i="37" s="1"/>
  <c r="W15" i="35"/>
  <c r="O15" i="6"/>
  <c r="O29" i="6"/>
  <c r="O24" i="6"/>
  <c r="O23" i="6"/>
  <c r="O19" i="6"/>
  <c r="O18" i="6"/>
  <c r="O25" i="6"/>
  <c r="O17" i="6"/>
  <c r="E40" i="27"/>
  <c r="Q39" i="27"/>
  <c r="S75" i="17"/>
  <c r="M87" i="17"/>
  <c r="N87" i="17"/>
  <c r="L68" i="15"/>
  <c r="K28" i="16"/>
  <c r="Y70" i="35" s="1"/>
  <c r="K12" i="16"/>
  <c r="Y59" i="35" s="1"/>
  <c r="R32" i="17"/>
  <c r="S32" i="17" s="1"/>
  <c r="Q31" i="17"/>
  <c r="P29" i="15"/>
  <c r="P21" i="15"/>
  <c r="K51" i="15"/>
  <c r="X29" i="35" s="1"/>
  <c r="P25" i="15"/>
  <c r="L8" i="15"/>
  <c r="Y7" i="35" s="1"/>
  <c r="P13" i="15"/>
  <c r="O56" i="35" l="1"/>
  <c r="H10" i="37"/>
  <c r="X38" i="35"/>
  <c r="G27" i="37"/>
  <c r="N21" i="6"/>
  <c r="M63" i="35" s="1"/>
  <c r="Q77" i="16"/>
  <c r="R75" i="16"/>
  <c r="Q88" i="16"/>
  <c r="X14" i="35"/>
  <c r="L30" i="15"/>
  <c r="P21" i="6" s="1"/>
  <c r="Q21" i="6" s="1"/>
  <c r="R76" i="16"/>
  <c r="Q30" i="6"/>
  <c r="Q18" i="6"/>
  <c r="Q19" i="6"/>
  <c r="Q15" i="6"/>
  <c r="Q24" i="6"/>
  <c r="Q23" i="6"/>
  <c r="Q29" i="6"/>
  <c r="Q17" i="6"/>
  <c r="Q25" i="6"/>
  <c r="L64" i="15"/>
  <c r="Y42" i="35"/>
  <c r="L31" i="15"/>
  <c r="X15" i="35"/>
  <c r="E41" i="27"/>
  <c r="Q41" i="27" s="1"/>
  <c r="Q40" i="27"/>
  <c r="O87" i="17"/>
  <c r="R31" i="17"/>
  <c r="Q13" i="15"/>
  <c r="Q29" i="15"/>
  <c r="Q21" i="15"/>
  <c r="L51" i="15"/>
  <c r="Y29" i="35" s="1"/>
  <c r="Q25" i="15"/>
  <c r="Y15" i="35" l="1"/>
  <c r="H19" i="37"/>
  <c r="O21" i="6"/>
  <c r="S76" i="16"/>
  <c r="S88" i="16" s="1"/>
  <c r="H27" i="37"/>
  <c r="R77" i="16"/>
  <c r="L27" i="15"/>
  <c r="Y14" i="35" s="1"/>
  <c r="S75" i="16"/>
  <c r="S77" i="16" s="1"/>
  <c r="R88" i="16"/>
  <c r="O63" i="35"/>
  <c r="Y38" i="35"/>
  <c r="P87" i="17"/>
  <c r="S31" i="17"/>
  <c r="J8" i="6"/>
  <c r="G8" i="21"/>
  <c r="S12" i="16"/>
  <c r="R12" i="16"/>
  <c r="Q12" i="16"/>
  <c r="O12" i="16"/>
  <c r="N12" i="16"/>
  <c r="S7" i="16"/>
  <c r="O7" i="16"/>
  <c r="P7" i="16"/>
  <c r="Q7" i="16"/>
  <c r="R7" i="16"/>
  <c r="N7" i="16"/>
  <c r="G41" i="16"/>
  <c r="AG6" i="35" s="1"/>
  <c r="H41" i="16"/>
  <c r="AI6" i="35" s="1"/>
  <c r="I41" i="16"/>
  <c r="AK6" i="35" s="1"/>
  <c r="J41" i="16"/>
  <c r="AM6" i="35" s="1"/>
  <c r="K41" i="16"/>
  <c r="AO6" i="35" s="1"/>
  <c r="F41" i="16"/>
  <c r="AE6" i="35" s="1"/>
  <c r="I11" i="16"/>
  <c r="W58" i="35" s="1"/>
  <c r="J11" i="16"/>
  <c r="X58" i="35" s="1"/>
  <c r="K11" i="16"/>
  <c r="Y58" i="35" s="1"/>
  <c r="H11" i="16"/>
  <c r="V58" i="35" s="1"/>
  <c r="H8" i="16"/>
  <c r="G9" i="20"/>
  <c r="AE29" i="35" s="1"/>
  <c r="I50" i="35" l="1"/>
  <c r="O68" i="16"/>
  <c r="AT6" i="35"/>
  <c r="Q68" i="16"/>
  <c r="AV6" i="35"/>
  <c r="P68" i="16"/>
  <c r="AU6" i="35"/>
  <c r="S68" i="16"/>
  <c r="AX6" i="35"/>
  <c r="N68" i="16"/>
  <c r="AS6" i="35"/>
  <c r="R68" i="16"/>
  <c r="AW6" i="35"/>
  <c r="L80" i="21"/>
  <c r="L66" i="21"/>
  <c r="L52" i="21"/>
  <c r="L38" i="21"/>
  <c r="L24" i="21"/>
  <c r="L17" i="21"/>
  <c r="L31" i="21"/>
  <c r="L73" i="21"/>
  <c r="L59" i="21"/>
  <c r="L45" i="21"/>
  <c r="G8" i="16"/>
  <c r="F8" i="16" s="1"/>
  <c r="N8" i="16" s="1"/>
  <c r="AS7" i="35" s="1"/>
  <c r="V55" i="35"/>
  <c r="F8" i="21"/>
  <c r="E8" i="21" s="1"/>
  <c r="G22" i="20"/>
  <c r="K8" i="28"/>
  <c r="H8" i="6"/>
  <c r="D5" i="29"/>
  <c r="Q87" i="17"/>
  <c r="H42" i="16"/>
  <c r="AI7" i="35" s="1"/>
  <c r="P8" i="16"/>
  <c r="AU7" i="35" s="1"/>
  <c r="G8" i="19"/>
  <c r="P12" i="19" s="1"/>
  <c r="S11" i="6"/>
  <c r="H8" i="21"/>
  <c r="I8" i="16"/>
  <c r="W55" i="35" s="1"/>
  <c r="L8" i="6"/>
  <c r="G50" i="35" l="1"/>
  <c r="N69" i="16"/>
  <c r="F42" i="16"/>
  <c r="AE7" i="35" s="1"/>
  <c r="O8" i="16"/>
  <c r="AT7" i="35" s="1"/>
  <c r="N43" i="16"/>
  <c r="M80" i="21"/>
  <c r="M66" i="21"/>
  <c r="M52" i="21"/>
  <c r="M38" i="21"/>
  <c r="M24" i="21"/>
  <c r="M73" i="21"/>
  <c r="M59" i="21"/>
  <c r="M45" i="21"/>
  <c r="M31" i="21"/>
  <c r="M17" i="21"/>
  <c r="G42" i="16"/>
  <c r="AG7" i="35" s="1"/>
  <c r="F8" i="6"/>
  <c r="E50" i="35" s="1"/>
  <c r="E5" i="29"/>
  <c r="K50" i="35"/>
  <c r="AE44" i="35"/>
  <c r="AE66" i="35"/>
  <c r="E8" i="19"/>
  <c r="I8" i="21"/>
  <c r="R87" i="17"/>
  <c r="S87" i="17" s="1"/>
  <c r="P43" i="16"/>
  <c r="P69" i="16"/>
  <c r="N8" i="6"/>
  <c r="I8" i="19"/>
  <c r="Q12" i="19" s="1"/>
  <c r="T11" i="6"/>
  <c r="J8" i="16"/>
  <c r="X55" i="35" s="1"/>
  <c r="I42" i="16"/>
  <c r="AK7" i="35" s="1"/>
  <c r="Q8" i="16"/>
  <c r="AV7" i="35" s="1"/>
  <c r="K17" i="15"/>
  <c r="L17" i="15"/>
  <c r="I17" i="15"/>
  <c r="I16" i="15" s="1"/>
  <c r="J16" i="15" s="1"/>
  <c r="F14" i="6"/>
  <c r="C10" i="37" s="1"/>
  <c r="O69" i="16" l="1"/>
  <c r="O43" i="16"/>
  <c r="N24" i="21"/>
  <c r="N73" i="21"/>
  <c r="N59" i="21"/>
  <c r="N45" i="21"/>
  <c r="N31" i="21"/>
  <c r="N17" i="21"/>
  <c r="N38" i="21"/>
  <c r="N80" i="21"/>
  <c r="N66" i="21"/>
  <c r="N52" i="21"/>
  <c r="E56" i="35"/>
  <c r="G17" i="6"/>
  <c r="G16" i="6"/>
  <c r="G15" i="6"/>
  <c r="G25" i="6"/>
  <c r="G18" i="6"/>
  <c r="G23" i="6"/>
  <c r="G19" i="6"/>
  <c r="F5" i="29"/>
  <c r="M50" i="35"/>
  <c r="G24" i="6"/>
  <c r="G30" i="6"/>
  <c r="G21" i="6"/>
  <c r="G29" i="6"/>
  <c r="G27" i="6"/>
  <c r="J8" i="21"/>
  <c r="Q43" i="16"/>
  <c r="Q69" i="16"/>
  <c r="P8" i="6"/>
  <c r="K8" i="19"/>
  <c r="R12" i="19" s="1"/>
  <c r="U11" i="6"/>
  <c r="K8" i="16"/>
  <c r="Y55" i="35" s="1"/>
  <c r="J42" i="16"/>
  <c r="AM7" i="35" s="1"/>
  <c r="R8" i="16"/>
  <c r="AW7" i="35" s="1"/>
  <c r="F20" i="6"/>
  <c r="E62" i="35" l="1"/>
  <c r="C11" i="37"/>
  <c r="O73" i="21"/>
  <c r="O59" i="21"/>
  <c r="O45" i="21"/>
  <c r="O31" i="21"/>
  <c r="O17" i="21"/>
  <c r="O80" i="21"/>
  <c r="O66" i="21"/>
  <c r="O52" i="21"/>
  <c r="O38" i="21"/>
  <c r="O24" i="21"/>
  <c r="G5" i="29"/>
  <c r="O50" i="35"/>
  <c r="G20" i="6"/>
  <c r="N16" i="16" s="1"/>
  <c r="C64" i="37" s="1"/>
  <c r="I15" i="15"/>
  <c r="V11" i="35"/>
  <c r="N15" i="16"/>
  <c r="C63" i="37" s="1"/>
  <c r="M16" i="6"/>
  <c r="R43" i="16"/>
  <c r="R69" i="16"/>
  <c r="M8" i="19"/>
  <c r="S12" i="19" s="1"/>
  <c r="V11" i="6"/>
  <c r="K42" i="16"/>
  <c r="AO7" i="35" s="1"/>
  <c r="S8" i="16"/>
  <c r="AX7" i="35" s="1"/>
  <c r="F22" i="6"/>
  <c r="G22" i="6" l="1"/>
  <c r="C12" i="37"/>
  <c r="N17" i="16"/>
  <c r="I10" i="15"/>
  <c r="E18" i="37"/>
  <c r="E64" i="35"/>
  <c r="N23" i="16"/>
  <c r="N18" i="16"/>
  <c r="C66" i="37" s="1"/>
  <c r="K16" i="15"/>
  <c r="X11" i="35" s="1"/>
  <c r="W11" i="35"/>
  <c r="V10" i="35"/>
  <c r="J20" i="6"/>
  <c r="E11" i="37" s="1"/>
  <c r="H51" i="16"/>
  <c r="O16" i="6"/>
  <c r="L16" i="6"/>
  <c r="U81" i="17" s="1"/>
  <c r="G81" i="17" s="1"/>
  <c r="J15" i="15"/>
  <c r="F18" i="37" s="1"/>
  <c r="S43" i="16"/>
  <c r="S69" i="16"/>
  <c r="F26" i="6"/>
  <c r="C13" i="37" s="1"/>
  <c r="AI15" i="35" l="1"/>
  <c r="E59" i="37"/>
  <c r="N24" i="16"/>
  <c r="C72" i="37"/>
  <c r="C65" i="37"/>
  <c r="N70" i="16"/>
  <c r="I62" i="35"/>
  <c r="V8" i="35"/>
  <c r="K15" i="15"/>
  <c r="G18" i="37" s="1"/>
  <c r="L16" i="15"/>
  <c r="Y11" i="35" s="1"/>
  <c r="E68" i="35"/>
  <c r="G26" i="6"/>
  <c r="L81" i="17"/>
  <c r="J46" i="27" s="1"/>
  <c r="J47" i="27" s="1"/>
  <c r="J56" i="27" s="1"/>
  <c r="J57" i="27" s="1"/>
  <c r="N86" i="17" s="1"/>
  <c r="K58" i="35"/>
  <c r="J10" i="15"/>
  <c r="W8" i="35" s="1"/>
  <c r="W10" i="35"/>
  <c r="F31" i="6"/>
  <c r="F10" i="16"/>
  <c r="Q16" i="6"/>
  <c r="P16" i="6" s="1"/>
  <c r="O58" i="35" s="1"/>
  <c r="N16" i="6"/>
  <c r="M58" i="35" s="1"/>
  <c r="H55" i="16"/>
  <c r="E61" i="37" s="1"/>
  <c r="I78" i="15"/>
  <c r="I77" i="15" s="1"/>
  <c r="Q40" i="26" s="1"/>
  <c r="Q41" i="26" s="1"/>
  <c r="Q44" i="26" s="1"/>
  <c r="G79" i="17" s="1"/>
  <c r="S79" i="17" s="1"/>
  <c r="J22" i="6"/>
  <c r="E12" i="37" s="1"/>
  <c r="P15" i="16"/>
  <c r="E63" i="37" s="1"/>
  <c r="K20" i="6"/>
  <c r="P16" i="16" s="1"/>
  <c r="E64" i="37" s="1"/>
  <c r="I51" i="16"/>
  <c r="L20" i="6"/>
  <c r="F11" i="37" s="1"/>
  <c r="H25" i="17"/>
  <c r="F17" i="27" s="1"/>
  <c r="F18" i="27" s="1"/>
  <c r="K25" i="17"/>
  <c r="I17" i="27" s="1"/>
  <c r="I18" i="27" s="1"/>
  <c r="O25" i="17"/>
  <c r="M17" i="27" s="1"/>
  <c r="M18" i="27" s="1"/>
  <c r="J25" i="17"/>
  <c r="H17" i="27" s="1"/>
  <c r="H18" i="27" s="1"/>
  <c r="G25" i="17"/>
  <c r="E17" i="27" s="1"/>
  <c r="P25" i="17"/>
  <c r="N17" i="27" s="1"/>
  <c r="N18" i="27" s="1"/>
  <c r="Q25" i="17"/>
  <c r="O17" i="27" s="1"/>
  <c r="O18" i="27" s="1"/>
  <c r="R25" i="17"/>
  <c r="P17" i="27" s="1"/>
  <c r="P18" i="27" s="1"/>
  <c r="M25" i="17"/>
  <c r="K17" i="27" s="1"/>
  <c r="K18" i="27" s="1"/>
  <c r="N25" i="17"/>
  <c r="L17" i="27" s="1"/>
  <c r="L18" i="27" s="1"/>
  <c r="I25" i="17"/>
  <c r="G17" i="27" s="1"/>
  <c r="G18" i="27" s="1"/>
  <c r="L25" i="17"/>
  <c r="J17" i="27" s="1"/>
  <c r="J18" i="27" s="1"/>
  <c r="E42" i="18"/>
  <c r="E5" i="37" s="1"/>
  <c r="AK15" i="35" l="1"/>
  <c r="F59" i="37"/>
  <c r="G57" i="15"/>
  <c r="C14" i="37"/>
  <c r="F16" i="16"/>
  <c r="C51" i="37" s="1"/>
  <c r="C71" i="37"/>
  <c r="C50" i="37"/>
  <c r="X10" i="35"/>
  <c r="K10" i="15"/>
  <c r="X8" i="35" s="1"/>
  <c r="L15" i="15"/>
  <c r="H18" i="37" s="1"/>
  <c r="K62" i="35"/>
  <c r="I64" i="35"/>
  <c r="P17" i="16"/>
  <c r="E65" i="37" s="1"/>
  <c r="R81" i="17"/>
  <c r="P46" i="27" s="1"/>
  <c r="P47" i="27" s="1"/>
  <c r="P56" i="27" s="1"/>
  <c r="P57" i="27" s="1"/>
  <c r="AI19" i="35"/>
  <c r="H56" i="16"/>
  <c r="N81" i="17"/>
  <c r="L46" i="27" s="1"/>
  <c r="L47" i="27" s="1"/>
  <c r="L56" i="27" s="1"/>
  <c r="L57" i="27" s="1"/>
  <c r="P86" i="17" s="1"/>
  <c r="M81" i="17"/>
  <c r="K46" i="27" s="1"/>
  <c r="K47" i="27" s="1"/>
  <c r="K56" i="27" s="1"/>
  <c r="K57" i="27" s="1"/>
  <c r="O86" i="17" s="1"/>
  <c r="Q81" i="17"/>
  <c r="O46" i="27" s="1"/>
  <c r="O47" i="27" s="1"/>
  <c r="O56" i="27" s="1"/>
  <c r="O57" i="27" s="1"/>
  <c r="O81" i="17"/>
  <c r="M46" i="27" s="1"/>
  <c r="M47" i="27" s="1"/>
  <c r="M56" i="27" s="1"/>
  <c r="M57" i="27" s="1"/>
  <c r="Q86" i="17" s="1"/>
  <c r="P81" i="17"/>
  <c r="N46" i="27" s="1"/>
  <c r="N47" i="27" s="1"/>
  <c r="N56" i="27" s="1"/>
  <c r="N57" i="27" s="1"/>
  <c r="R86" i="17" s="1"/>
  <c r="H81" i="17"/>
  <c r="F46" i="27" s="1"/>
  <c r="F47" i="27" s="1"/>
  <c r="F56" i="27" s="1"/>
  <c r="F57" i="27" s="1"/>
  <c r="J86" i="17" s="1"/>
  <c r="I81" i="17"/>
  <c r="G46" i="27" s="1"/>
  <c r="G47" i="27" s="1"/>
  <c r="G56" i="27" s="1"/>
  <c r="G57" i="27" s="1"/>
  <c r="K86" i="17" s="1"/>
  <c r="E46" i="27"/>
  <c r="K81" i="17"/>
  <c r="I46" i="27" s="1"/>
  <c r="I47" i="27" s="1"/>
  <c r="I56" i="27" s="1"/>
  <c r="I57" i="27" s="1"/>
  <c r="M86" i="17" s="1"/>
  <c r="J81" i="17"/>
  <c r="H46" i="27" s="1"/>
  <c r="H47" i="27" s="1"/>
  <c r="H56" i="27" s="1"/>
  <c r="H57" i="27" s="1"/>
  <c r="L86" i="17" s="1"/>
  <c r="G53" i="15"/>
  <c r="T34" i="35"/>
  <c r="N20" i="16"/>
  <c r="C67" i="37" s="1"/>
  <c r="E72" i="35"/>
  <c r="G31" i="6"/>
  <c r="N21" i="16" s="1"/>
  <c r="C68" i="37" s="1"/>
  <c r="I72" i="15"/>
  <c r="E28" i="37" s="1"/>
  <c r="V47" i="35"/>
  <c r="L10" i="15"/>
  <c r="Y8" i="35" s="1"/>
  <c r="E18" i="27"/>
  <c r="Q17" i="27"/>
  <c r="I55" i="16"/>
  <c r="F61" i="37" s="1"/>
  <c r="J78" i="15"/>
  <c r="J77" i="15" s="1"/>
  <c r="S25" i="17"/>
  <c r="T25" i="17" s="1"/>
  <c r="J26" i="6"/>
  <c r="K22" i="6"/>
  <c r="P18" i="16" s="1"/>
  <c r="J51" i="16"/>
  <c r="N20" i="6"/>
  <c r="G11" i="37" s="1"/>
  <c r="Q15" i="16"/>
  <c r="F63" i="37" s="1"/>
  <c r="M20" i="6"/>
  <c r="Q16" i="16" s="1"/>
  <c r="F64" i="37" s="1"/>
  <c r="L22" i="6"/>
  <c r="F12" i="37" s="1"/>
  <c r="K51" i="16"/>
  <c r="P20" i="6"/>
  <c r="H11" i="37" s="1"/>
  <c r="E50" i="18"/>
  <c r="I61" i="18"/>
  <c r="I60" i="18"/>
  <c r="I59" i="18"/>
  <c r="I58" i="18"/>
  <c r="I57" i="18"/>
  <c r="I56" i="18"/>
  <c r="I55" i="18"/>
  <c r="I52" i="18"/>
  <c r="I51" i="18"/>
  <c r="I49" i="18"/>
  <c r="I48" i="18"/>
  <c r="I39" i="18"/>
  <c r="I38" i="18"/>
  <c r="I35" i="18"/>
  <c r="I32" i="18"/>
  <c r="I30" i="18"/>
  <c r="I27" i="18"/>
  <c r="I24" i="18"/>
  <c r="I20" i="18"/>
  <c r="F42" i="18"/>
  <c r="G42" i="18"/>
  <c r="H42" i="18"/>
  <c r="I17" i="18"/>
  <c r="E45" i="18"/>
  <c r="F16" i="18"/>
  <c r="F7" i="35" s="1"/>
  <c r="E13" i="37" l="1"/>
  <c r="J27" i="6"/>
  <c r="AM15" i="35"/>
  <c r="G59" i="37"/>
  <c r="AO15" i="35"/>
  <c r="H59" i="37"/>
  <c r="C24" i="37"/>
  <c r="N53" i="16"/>
  <c r="G95" i="15"/>
  <c r="N34" i="16" s="1"/>
  <c r="C77" i="37" s="1"/>
  <c r="P19" i="16"/>
  <c r="E66" i="37"/>
  <c r="Y10" i="35"/>
  <c r="O62" i="35"/>
  <c r="M62" i="35"/>
  <c r="V44" i="35"/>
  <c r="K64" i="35"/>
  <c r="E34" i="35"/>
  <c r="T30" i="35"/>
  <c r="T51" i="35" s="1"/>
  <c r="I68" i="35"/>
  <c r="N72" i="16"/>
  <c r="N36" i="16" s="1"/>
  <c r="P83" i="16"/>
  <c r="H23" i="16"/>
  <c r="AI20" i="35"/>
  <c r="E67" i="18"/>
  <c r="E29" i="35"/>
  <c r="S81" i="17"/>
  <c r="T81" i="17" s="1"/>
  <c r="P45" i="16"/>
  <c r="J72" i="15"/>
  <c r="F28" i="37" s="1"/>
  <c r="W47" i="35"/>
  <c r="I56" i="16"/>
  <c r="AK20" i="35" s="1"/>
  <c r="AK19" i="35"/>
  <c r="E47" i="27"/>
  <c r="Q46" i="27"/>
  <c r="E19" i="24"/>
  <c r="E74" i="24"/>
  <c r="E52" i="24"/>
  <c r="E30" i="24"/>
  <c r="I62" i="17"/>
  <c r="E41" i="24"/>
  <c r="E8" i="24"/>
  <c r="E63" i="24"/>
  <c r="Q18" i="27"/>
  <c r="E27" i="27"/>
  <c r="E28" i="27" s="1"/>
  <c r="I30" i="17" s="1"/>
  <c r="K26" i="6"/>
  <c r="K55" i="16"/>
  <c r="L78" i="15"/>
  <c r="L77" i="15" s="1"/>
  <c r="R15" i="16"/>
  <c r="G63" i="37" s="1"/>
  <c r="O20" i="6"/>
  <c r="R16" i="16" s="1"/>
  <c r="G64" i="37" s="1"/>
  <c r="N22" i="6"/>
  <c r="G12" i="37" s="1"/>
  <c r="K78" i="15"/>
  <c r="K77" i="15" s="1"/>
  <c r="J55" i="16"/>
  <c r="G61" i="37" s="1"/>
  <c r="S15" i="16"/>
  <c r="H63" i="37" s="1"/>
  <c r="Q20" i="6"/>
  <c r="S16" i="16" s="1"/>
  <c r="H64" i="37" s="1"/>
  <c r="P22" i="6"/>
  <c r="H12" i="37" s="1"/>
  <c r="L26" i="6"/>
  <c r="F13" i="37" s="1"/>
  <c r="Q17" i="16"/>
  <c r="F65" i="37" s="1"/>
  <c r="M22" i="6"/>
  <c r="Q18" i="16" s="1"/>
  <c r="E62" i="18"/>
  <c r="P82" i="16"/>
  <c r="E46" i="18"/>
  <c r="G50" i="18"/>
  <c r="H50" i="18"/>
  <c r="F50" i="18"/>
  <c r="F45" i="18"/>
  <c r="J9" i="20"/>
  <c r="AH29" i="35" s="1"/>
  <c r="I42" i="18"/>
  <c r="J42" i="18" s="1"/>
  <c r="G16" i="18"/>
  <c r="G7" i="35" s="1"/>
  <c r="G96" i="15" l="1"/>
  <c r="AO19" i="35"/>
  <c r="H61" i="37"/>
  <c r="N35" i="16"/>
  <c r="AS18" i="35" s="1"/>
  <c r="AS19" i="35"/>
  <c r="C78" i="37"/>
  <c r="Q19" i="16"/>
  <c r="F66" i="37"/>
  <c r="E30" i="35"/>
  <c r="E46" i="35" s="1"/>
  <c r="E6" i="37"/>
  <c r="E65" i="18"/>
  <c r="W44" i="35"/>
  <c r="O64" i="35"/>
  <c r="M64" i="35"/>
  <c r="L50" i="18"/>
  <c r="V66" i="35"/>
  <c r="H36" i="16"/>
  <c r="E52" i="37" s="1"/>
  <c r="V73" i="35"/>
  <c r="K68" i="35"/>
  <c r="L27" i="6"/>
  <c r="K69" i="35" s="1"/>
  <c r="N73" i="16"/>
  <c r="N78" i="16" s="1"/>
  <c r="N13" i="16" s="1"/>
  <c r="O71" i="16"/>
  <c r="O73" i="16" s="1"/>
  <c r="O78" i="16" s="1"/>
  <c r="O13" i="16" s="1"/>
  <c r="N37" i="16"/>
  <c r="AS20" i="35" s="1"/>
  <c r="F67" i="18"/>
  <c r="F29" i="35"/>
  <c r="Q45" i="16"/>
  <c r="W73" i="35"/>
  <c r="AS17" i="35"/>
  <c r="N41" i="16"/>
  <c r="K72" i="15"/>
  <c r="G28" i="37" s="1"/>
  <c r="X47" i="35"/>
  <c r="I23" i="16"/>
  <c r="W66" i="35" s="1"/>
  <c r="Q83" i="16"/>
  <c r="L72" i="15"/>
  <c r="H28" i="37" s="1"/>
  <c r="Y47" i="35"/>
  <c r="Q82" i="16"/>
  <c r="F34" i="35"/>
  <c r="R82" i="16"/>
  <c r="G34" i="35"/>
  <c r="S82" i="16"/>
  <c r="H34" i="35"/>
  <c r="J56" i="16"/>
  <c r="AM20" i="35" s="1"/>
  <c r="AM19" i="35"/>
  <c r="J31" i="6"/>
  <c r="E14" i="37" s="1"/>
  <c r="I69" i="35"/>
  <c r="E56" i="27"/>
  <c r="Q47" i="27"/>
  <c r="E32" i="27"/>
  <c r="C37" i="26"/>
  <c r="M9" i="20"/>
  <c r="AK29" i="35" s="1"/>
  <c r="F19" i="24"/>
  <c r="F74" i="24"/>
  <c r="F52" i="24"/>
  <c r="F30" i="24"/>
  <c r="F41" i="24"/>
  <c r="F8" i="24"/>
  <c r="F63" i="24"/>
  <c r="J22" i="20"/>
  <c r="Q8" i="28"/>
  <c r="H10" i="16"/>
  <c r="K56" i="16"/>
  <c r="O22" i="6"/>
  <c r="R18" i="16" s="1"/>
  <c r="N26" i="6"/>
  <c r="G13" i="37" s="1"/>
  <c r="R17" i="16"/>
  <c r="G65" i="37" s="1"/>
  <c r="Q22" i="6"/>
  <c r="S18" i="16" s="1"/>
  <c r="P26" i="6"/>
  <c r="H13" i="37" s="1"/>
  <c r="S17" i="16"/>
  <c r="H65" i="37" s="1"/>
  <c r="U39" i="17"/>
  <c r="K27" i="6"/>
  <c r="P23" i="16"/>
  <c r="M26" i="6"/>
  <c r="P70" i="16"/>
  <c r="J32" i="18"/>
  <c r="J27" i="18"/>
  <c r="J24" i="18"/>
  <c r="J35" i="18"/>
  <c r="J20" i="18"/>
  <c r="J38" i="18"/>
  <c r="J17" i="18"/>
  <c r="J39" i="18"/>
  <c r="J30" i="18"/>
  <c r="H62" i="18"/>
  <c r="H65" i="18" s="1"/>
  <c r="H46" i="18"/>
  <c r="H30" i="35" s="1"/>
  <c r="H46" i="35" s="1"/>
  <c r="G62" i="18"/>
  <c r="G65" i="18" s="1"/>
  <c r="G46" i="18"/>
  <c r="G30" i="35" s="1"/>
  <c r="G46" i="35" s="1"/>
  <c r="F62" i="18"/>
  <c r="F65" i="18" s="1"/>
  <c r="F46" i="18"/>
  <c r="F30" i="35" s="1"/>
  <c r="F46" i="35" s="1"/>
  <c r="I50" i="18"/>
  <c r="H16" i="18"/>
  <c r="H7" i="35" s="1"/>
  <c r="G45" i="18"/>
  <c r="N42" i="16" l="1"/>
  <c r="C79" i="37"/>
  <c r="O22" i="16"/>
  <c r="D70" i="37" s="1"/>
  <c r="D69" i="37"/>
  <c r="C69" i="37"/>
  <c r="N22" i="16"/>
  <c r="C70" i="37" s="1"/>
  <c r="S19" i="16"/>
  <c r="H66" i="37"/>
  <c r="E50" i="37"/>
  <c r="E71" i="37"/>
  <c r="P24" i="16"/>
  <c r="E72" i="37"/>
  <c r="R19" i="16"/>
  <c r="G66" i="37"/>
  <c r="V77" i="35"/>
  <c r="X44" i="35"/>
  <c r="Y44" i="35"/>
  <c r="M68" i="35"/>
  <c r="O68" i="35"/>
  <c r="Q80" i="16"/>
  <c r="I72" i="35"/>
  <c r="P51" i="16"/>
  <c r="G67" i="18"/>
  <c r="G29" i="35"/>
  <c r="AH44" i="35"/>
  <c r="AH66" i="35"/>
  <c r="R45" i="16"/>
  <c r="X73" i="35"/>
  <c r="R83" i="16"/>
  <c r="R80" i="16" s="1"/>
  <c r="Y73" i="35"/>
  <c r="J23" i="16"/>
  <c r="X66" i="35" s="1"/>
  <c r="S45" i="16"/>
  <c r="I46" i="35"/>
  <c r="I30" i="35"/>
  <c r="I34" i="35"/>
  <c r="V57" i="35"/>
  <c r="P31" i="16"/>
  <c r="E76" i="37" s="1"/>
  <c r="P20" i="16"/>
  <c r="E67" i="37" s="1"/>
  <c r="K23" i="16"/>
  <c r="Y66" i="35" s="1"/>
  <c r="AO20" i="35"/>
  <c r="I57" i="15"/>
  <c r="J55" i="15" s="1"/>
  <c r="K31" i="6"/>
  <c r="P21" i="16" s="1"/>
  <c r="E68" i="37" s="1"/>
  <c r="S83" i="16"/>
  <c r="S80" i="16" s="1"/>
  <c r="E57" i="27"/>
  <c r="Q56" i="27"/>
  <c r="H16" i="16"/>
  <c r="P30" i="16"/>
  <c r="G19" i="24"/>
  <c r="G30" i="24"/>
  <c r="G52" i="24"/>
  <c r="G74" i="24"/>
  <c r="G41" i="24"/>
  <c r="G8" i="24"/>
  <c r="G63" i="24"/>
  <c r="L31" i="6"/>
  <c r="F14" i="37" s="1"/>
  <c r="U95" i="17"/>
  <c r="M22" i="20"/>
  <c r="W8" i="28"/>
  <c r="N27" i="6"/>
  <c r="P27" i="6"/>
  <c r="Q39" i="17"/>
  <c r="H39" i="17"/>
  <c r="J39" i="17"/>
  <c r="O39" i="17"/>
  <c r="P39" i="17"/>
  <c r="M39" i="17"/>
  <c r="I39" i="17"/>
  <c r="N39" i="17"/>
  <c r="L39" i="17"/>
  <c r="R39" i="17"/>
  <c r="G39" i="17"/>
  <c r="K39" i="17"/>
  <c r="O26" i="6"/>
  <c r="I10" i="16"/>
  <c r="M27" i="6"/>
  <c r="Q23" i="16"/>
  <c r="Q26" i="6"/>
  <c r="Q70" i="16"/>
  <c r="I46" i="18"/>
  <c r="I65" i="18"/>
  <c r="I62" i="18"/>
  <c r="H45" i="18"/>
  <c r="P9" i="20"/>
  <c r="AN29" i="35" s="1"/>
  <c r="F50" i="37" l="1"/>
  <c r="F71" i="37"/>
  <c r="Q24" i="16"/>
  <c r="N19" i="16" s="1"/>
  <c r="F72" i="37"/>
  <c r="AU13" i="35"/>
  <c r="E75" i="37"/>
  <c r="H37" i="16"/>
  <c r="E53" i="37" s="1"/>
  <c r="E51" i="37"/>
  <c r="M31" i="6"/>
  <c r="Q21" i="16" s="1"/>
  <c r="F68" i="37" s="1"/>
  <c r="AK66" i="35"/>
  <c r="AK44" i="35"/>
  <c r="H67" i="18"/>
  <c r="H29" i="35"/>
  <c r="P32" i="16"/>
  <c r="AU15" i="35" s="1"/>
  <c r="AU14" i="35"/>
  <c r="V63" i="35"/>
  <c r="W32" i="35"/>
  <c r="I53" i="15"/>
  <c r="E24" i="37" s="1"/>
  <c r="V34" i="35"/>
  <c r="N31" i="6"/>
  <c r="G14" i="37" s="1"/>
  <c r="M69" i="35"/>
  <c r="Q30" i="16"/>
  <c r="W57" i="35"/>
  <c r="P31" i="6"/>
  <c r="H14" i="37" s="1"/>
  <c r="O69" i="35"/>
  <c r="J57" i="15"/>
  <c r="W34" i="35" s="1"/>
  <c r="K72" i="35"/>
  <c r="Q20" i="16"/>
  <c r="F67" i="37" s="1"/>
  <c r="I86" i="17"/>
  <c r="Q57" i="27"/>
  <c r="P22" i="20"/>
  <c r="AI8" i="28"/>
  <c r="AC8" i="28"/>
  <c r="H95" i="17"/>
  <c r="K95" i="17"/>
  <c r="K100" i="17" s="1"/>
  <c r="K111" i="17" s="1"/>
  <c r="O95" i="17"/>
  <c r="O100" i="17" s="1"/>
  <c r="O111" i="17" s="1"/>
  <c r="R95" i="17"/>
  <c r="R100" i="17" s="1"/>
  <c r="R111" i="17" s="1"/>
  <c r="J95" i="17"/>
  <c r="J100" i="17" s="1"/>
  <c r="J111" i="17" s="1"/>
  <c r="G95" i="17"/>
  <c r="P95" i="17"/>
  <c r="P100" i="17" s="1"/>
  <c r="P111" i="17" s="1"/>
  <c r="Q95" i="17"/>
  <c r="Q100" i="17" s="1"/>
  <c r="Q111" i="17" s="1"/>
  <c r="L95" i="17"/>
  <c r="L100" i="17" s="1"/>
  <c r="L111" i="17" s="1"/>
  <c r="M95" i="17"/>
  <c r="M100" i="17" s="1"/>
  <c r="M111" i="17" s="1"/>
  <c r="N95" i="17"/>
  <c r="N100" i="17" s="1"/>
  <c r="N111" i="17" s="1"/>
  <c r="I95" i="17"/>
  <c r="S70" i="16"/>
  <c r="Q27" i="6"/>
  <c r="S23" i="16"/>
  <c r="J10" i="16"/>
  <c r="O27" i="6"/>
  <c r="R23" i="16"/>
  <c r="R70" i="16"/>
  <c r="Q31" i="16"/>
  <c r="F76" i="37" s="1"/>
  <c r="I16" i="16"/>
  <c r="S39" i="17"/>
  <c r="K10" i="16"/>
  <c r="J62" i="18"/>
  <c r="J53" i="18"/>
  <c r="J57" i="18"/>
  <c r="J48" i="18"/>
  <c r="J58" i="18"/>
  <c r="J60" i="18"/>
  <c r="J52" i="18"/>
  <c r="J49" i="18"/>
  <c r="J61" i="18"/>
  <c r="J59" i="18"/>
  <c r="J55" i="18"/>
  <c r="J56" i="18"/>
  <c r="J51" i="18"/>
  <c r="J46" i="18"/>
  <c r="J50" i="18"/>
  <c r="AV13" i="35" l="1"/>
  <c r="F75" i="37"/>
  <c r="W63" i="35"/>
  <c r="F51" i="37"/>
  <c r="G50" i="37"/>
  <c r="G71" i="37"/>
  <c r="H50" i="37"/>
  <c r="H71" i="37"/>
  <c r="R24" i="16"/>
  <c r="G72" i="37"/>
  <c r="S24" i="16"/>
  <c r="H72" i="37"/>
  <c r="V78" i="35"/>
  <c r="H38" i="16"/>
  <c r="E54" i="37" s="1"/>
  <c r="M72" i="35"/>
  <c r="O72" i="35"/>
  <c r="P84" i="16"/>
  <c r="I100" i="17"/>
  <c r="I111" i="17" s="1"/>
  <c r="AN66" i="35"/>
  <c r="AN44" i="35"/>
  <c r="Q32" i="16"/>
  <c r="AV15" i="35" s="1"/>
  <c r="AV14" i="35"/>
  <c r="P72" i="16"/>
  <c r="P73" i="16" s="1"/>
  <c r="P78" i="16" s="1"/>
  <c r="P13" i="16" s="1"/>
  <c r="E69" i="37" s="1"/>
  <c r="K57" i="15"/>
  <c r="X34" i="35" s="1"/>
  <c r="V30" i="35"/>
  <c r="V51" i="35" s="1"/>
  <c r="I95" i="15"/>
  <c r="I46" i="15" s="1"/>
  <c r="E23" i="37" s="1"/>
  <c r="R20" i="16"/>
  <c r="G67" i="37" s="1"/>
  <c r="O31" i="6"/>
  <c r="R21" i="16" s="1"/>
  <c r="G68" i="37" s="1"/>
  <c r="S30" i="16"/>
  <c r="Y57" i="35"/>
  <c r="R30" i="16"/>
  <c r="X57" i="35"/>
  <c r="S95" i="17"/>
  <c r="T95" i="17" s="1"/>
  <c r="R31" i="16"/>
  <c r="G76" i="37" s="1"/>
  <c r="J16" i="16"/>
  <c r="K16" i="16"/>
  <c r="S31" i="16"/>
  <c r="H76" i="37" s="1"/>
  <c r="T39" i="17"/>
  <c r="L57" i="15"/>
  <c r="Y34" i="35" s="1"/>
  <c r="Q31" i="6"/>
  <c r="S21" i="16" s="1"/>
  <c r="H68" i="37" s="1"/>
  <c r="S20" i="16"/>
  <c r="H67" i="37" s="1"/>
  <c r="X63" i="35" l="1"/>
  <c r="G51" i="37"/>
  <c r="AX13" i="35"/>
  <c r="H75" i="37"/>
  <c r="AW13" i="35"/>
  <c r="G75" i="37"/>
  <c r="Y63" i="35"/>
  <c r="H51" i="37"/>
  <c r="H39" i="16"/>
  <c r="P22" i="16"/>
  <c r="E70" i="37" s="1"/>
  <c r="P85" i="16"/>
  <c r="P80" i="16" s="1"/>
  <c r="I47" i="15"/>
  <c r="H40" i="16"/>
  <c r="I35" i="15"/>
  <c r="P34" i="16"/>
  <c r="E77" i="37" s="1"/>
  <c r="Q71" i="16"/>
  <c r="S32" i="16"/>
  <c r="AX15" i="35" s="1"/>
  <c r="AX14" i="35"/>
  <c r="R32" i="16"/>
  <c r="AW15" i="35" s="1"/>
  <c r="AW14" i="35"/>
  <c r="V79" i="35"/>
  <c r="P28" i="16" l="1"/>
  <c r="E74" i="37" s="1"/>
  <c r="P26" i="16"/>
  <c r="E73" i="37" s="1"/>
  <c r="V24" i="35"/>
  <c r="P89" i="16"/>
  <c r="P36" i="16" s="1"/>
  <c r="E78" i="37" s="1"/>
  <c r="P35" i="16"/>
  <c r="AU18" i="35" s="1"/>
  <c r="AU17" i="35"/>
  <c r="P37" i="16" l="1"/>
  <c r="AU20" i="35" s="1"/>
  <c r="AU9" i="35"/>
  <c r="P29" i="16"/>
  <c r="AU12" i="35" s="1"/>
  <c r="AU11" i="35"/>
  <c r="P41" i="16"/>
  <c r="E79" i="37" s="1"/>
  <c r="P27" i="16"/>
  <c r="AU10" i="35" s="1"/>
  <c r="I48" i="15"/>
  <c r="E16" i="37" s="1"/>
  <c r="V16" i="35"/>
  <c r="V25" i="35" s="1"/>
  <c r="AU19" i="35"/>
  <c r="P42" i="16" l="1"/>
  <c r="I96" i="15"/>
  <c r="P44" i="16"/>
  <c r="P48" i="16" l="1"/>
  <c r="Q49" i="16" l="1"/>
  <c r="F81" i="37" s="1"/>
  <c r="E80" i="37"/>
  <c r="P53" i="16"/>
  <c r="Q51" i="16"/>
  <c r="Q50" i="16" l="1"/>
  <c r="I34" i="16"/>
  <c r="W75" i="35"/>
  <c r="I36" i="16"/>
  <c r="F52" i="37" s="1"/>
  <c r="J56" i="15"/>
  <c r="G106" i="17"/>
  <c r="G109" i="17" l="1"/>
  <c r="S106" i="17"/>
  <c r="S109" i="17" s="1"/>
  <c r="W77" i="35"/>
  <c r="I37" i="16"/>
  <c r="F53" i="37" s="1"/>
  <c r="W33" i="35"/>
  <c r="J53" i="15"/>
  <c r="F24" i="37" s="1"/>
  <c r="K55" i="15"/>
  <c r="X32" i="35" s="1"/>
  <c r="I38" i="16" l="1"/>
  <c r="F54" i="37" s="1"/>
  <c r="W78" i="35"/>
  <c r="W30" i="35"/>
  <c r="W51" i="35" s="1"/>
  <c r="J95" i="15"/>
  <c r="J46" i="15" s="1"/>
  <c r="F23" i="37" s="1"/>
  <c r="Q84" i="16"/>
  <c r="Q72" i="16"/>
  <c r="R71" i="16" l="1"/>
  <c r="Q73" i="16"/>
  <c r="Q78" i="16" s="1"/>
  <c r="Q13" i="16" s="1"/>
  <c r="F69" i="37" s="1"/>
  <c r="Q34" i="16"/>
  <c r="F77" i="37" s="1"/>
  <c r="J47" i="15"/>
  <c r="W79" i="35"/>
  <c r="I39" i="16"/>
  <c r="Q22" i="16" l="1"/>
  <c r="F70" i="37" s="1"/>
  <c r="I40" i="16"/>
  <c r="Q35" i="16"/>
  <c r="AV18" i="35" s="1"/>
  <c r="AV17" i="35"/>
  <c r="W24" i="35"/>
  <c r="J35" i="15"/>
  <c r="Q26" i="16"/>
  <c r="F73" i="37" s="1"/>
  <c r="Q28" i="16"/>
  <c r="F74" i="37" s="1"/>
  <c r="Q89" i="16"/>
  <c r="Q36" i="16" s="1"/>
  <c r="F78" i="37" s="1"/>
  <c r="AV11" i="35" l="1"/>
  <c r="Q29" i="16"/>
  <c r="AV12" i="35" s="1"/>
  <c r="J48" i="15"/>
  <c r="F16" i="37" s="1"/>
  <c r="W16" i="35"/>
  <c r="W25" i="35" s="1"/>
  <c r="AV19" i="35"/>
  <c r="Q37" i="16"/>
  <c r="AV20" i="35" s="1"/>
  <c r="AV9" i="35"/>
  <c r="Q27" i="16"/>
  <c r="AV10" i="35" s="1"/>
  <c r="Q41" i="16"/>
  <c r="F79" i="37" s="1"/>
  <c r="Q42" i="16" l="1"/>
  <c r="J96" i="15"/>
  <c r="Q44" i="16"/>
  <c r="Q48" i="16" s="1"/>
  <c r="F80" i="37" s="1"/>
  <c r="R49" i="16" l="1"/>
  <c r="G81" i="37" s="1"/>
  <c r="Q53" i="16"/>
  <c r="T18" i="7"/>
  <c r="T14" i="7"/>
  <c r="T13" i="7"/>
  <c r="T12" i="7"/>
  <c r="K6" i="11"/>
  <c r="C19" i="11"/>
  <c r="C20" i="11" s="1"/>
  <c r="N11" i="11"/>
  <c r="N12" i="11" s="1"/>
  <c r="C10" i="11"/>
  <c r="C11" i="11" s="1"/>
  <c r="N9" i="11"/>
  <c r="N8" i="11" s="1"/>
  <c r="C8" i="11"/>
  <c r="C12" i="11" s="1"/>
  <c r="C13" i="11" s="1"/>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O9" i="5"/>
  <c r="O8" i="5"/>
  <c r="O7" i="5"/>
  <c r="D85" i="5"/>
  <c r="E85" i="5"/>
  <c r="F85" i="5"/>
  <c r="G85" i="5"/>
  <c r="H85" i="5"/>
  <c r="I85" i="5"/>
  <c r="J85" i="5"/>
  <c r="K85" i="5"/>
  <c r="L85" i="5"/>
  <c r="M85" i="5"/>
  <c r="N85" i="5"/>
  <c r="C85" i="5"/>
  <c r="R50" i="16" l="1"/>
  <c r="J34" i="16"/>
  <c r="R51" i="16"/>
  <c r="G9" i="11"/>
  <c r="G7" i="11"/>
  <c r="K7" i="11" s="1"/>
  <c r="G15" i="11"/>
  <c r="G17" i="11" s="1"/>
  <c r="K9" i="11"/>
  <c r="O85" i="5"/>
  <c r="X75" i="35" l="1"/>
  <c r="K56" i="15"/>
  <c r="J36" i="16"/>
  <c r="G52" i="37" s="1"/>
  <c r="G8" i="11"/>
  <c r="X77" i="35" l="1"/>
  <c r="J37" i="16"/>
  <c r="G53" i="37" s="1"/>
  <c r="X33" i="35"/>
  <c r="L55" i="15"/>
  <c r="Y32" i="35" s="1"/>
  <c r="K53" i="15"/>
  <c r="G24" i="37" s="1"/>
  <c r="K8" i="11"/>
  <c r="G13" i="11"/>
  <c r="G14" i="11" s="1"/>
  <c r="G16" i="11" s="1"/>
  <c r="G10" i="11"/>
  <c r="K10" i="11" s="1"/>
  <c r="X30" i="35" l="1"/>
  <c r="X51" i="35" s="1"/>
  <c r="K95" i="15"/>
  <c r="R84" i="16"/>
  <c r="R72" i="16"/>
  <c r="X78" i="35"/>
  <c r="J38" i="16"/>
  <c r="G54" i="37" s="1"/>
  <c r="N7" i="11"/>
  <c r="X79" i="35" l="1"/>
  <c r="J39" i="16"/>
  <c r="R34" i="16"/>
  <c r="G77" i="37" s="1"/>
  <c r="K46" i="15"/>
  <c r="G23" i="37" s="1"/>
  <c r="S71" i="16"/>
  <c r="R73" i="16"/>
  <c r="R78" i="16" s="1"/>
  <c r="R13" i="16" s="1"/>
  <c r="G69" i="37" s="1"/>
  <c r="M7" i="1"/>
  <c r="J7" i="1"/>
  <c r="G11" i="9"/>
  <c r="J11" i="9" s="1"/>
  <c r="L11" i="9" s="1"/>
  <c r="G12" i="9"/>
  <c r="J12" i="9" s="1"/>
  <c r="G13" i="9"/>
  <c r="J13" i="9" s="1"/>
  <c r="G14" i="9"/>
  <c r="J14" i="9" s="1"/>
  <c r="G15" i="9"/>
  <c r="J15" i="9" s="1"/>
  <c r="G10" i="9"/>
  <c r="J10" i="9" s="1"/>
  <c r="R22" i="16" l="1"/>
  <c r="G70" i="37" s="1"/>
  <c r="AW17" i="35"/>
  <c r="K47" i="15"/>
  <c r="J40" i="16"/>
  <c r="R35" i="16"/>
  <c r="AW18" i="35" s="1"/>
  <c r="X24" i="35"/>
  <c r="K35" i="15"/>
  <c r="R28" i="16"/>
  <c r="G74" i="37" s="1"/>
  <c r="R26" i="16"/>
  <c r="G73" i="37" s="1"/>
  <c r="R89" i="16"/>
  <c r="R36" i="16" s="1"/>
  <c r="G78" i="37" s="1"/>
  <c r="I15" i="9"/>
  <c r="L15" i="9"/>
  <c r="M15" i="9" s="1"/>
  <c r="L14" i="9"/>
  <c r="M14" i="9" s="1"/>
  <c r="I14" i="9"/>
  <c r="L13" i="9"/>
  <c r="M13" i="9" s="1"/>
  <c r="I13" i="9"/>
  <c r="I10" i="9"/>
  <c r="L10" i="9"/>
  <c r="M10" i="9" s="1"/>
  <c r="M11" i="9"/>
  <c r="I11" i="9"/>
  <c r="L12" i="9"/>
  <c r="M12" i="9" s="1"/>
  <c r="I12" i="9"/>
  <c r="J23" i="9"/>
  <c r="J5" i="9" s="1"/>
  <c r="G23" i="9"/>
  <c r="G5" i="9" s="1"/>
  <c r="E12" i="4"/>
  <c r="F12" i="4"/>
  <c r="G12" i="4"/>
  <c r="H12" i="4"/>
  <c r="I12" i="4"/>
  <c r="J12" i="4"/>
  <c r="K12" i="4"/>
  <c r="L12" i="4"/>
  <c r="M12" i="4"/>
  <c r="N12" i="4"/>
  <c r="O12" i="4"/>
  <c r="P12" i="4"/>
  <c r="D12" i="4"/>
  <c r="M36" i="1"/>
  <c r="K36" i="1"/>
  <c r="N36" i="1" s="1"/>
  <c r="J36" i="1"/>
  <c r="H36" i="1"/>
  <c r="K35" i="1"/>
  <c r="H35" i="1"/>
  <c r="K34" i="1"/>
  <c r="H34" i="1"/>
  <c r="H33" i="1"/>
  <c r="K33" i="1" s="1"/>
  <c r="H32" i="1"/>
  <c r="K32" i="1" s="1"/>
  <c r="H31" i="1"/>
  <c r="K31" i="1" s="1"/>
  <c r="H30" i="1"/>
  <c r="K30" i="1" s="1"/>
  <c r="K29" i="1"/>
  <c r="H29" i="1"/>
  <c r="H28" i="1"/>
  <c r="K28" i="1" s="1"/>
  <c r="K27" i="1"/>
  <c r="M27" i="1" s="1"/>
  <c r="N27" i="1" s="1"/>
  <c r="H27" i="1"/>
  <c r="K26" i="1"/>
  <c r="J26" i="1"/>
  <c r="H26" i="1"/>
  <c r="H25" i="1"/>
  <c r="H37" i="1" s="1"/>
  <c r="P11" i="4"/>
  <c r="P8" i="4"/>
  <c r="P9" i="4"/>
  <c r="P10" i="4"/>
  <c r="P7" i="4"/>
  <c r="P14" i="3"/>
  <c r="K10" i="1"/>
  <c r="J10" i="1" s="1"/>
  <c r="K16" i="1"/>
  <c r="M16" i="1" s="1"/>
  <c r="H8" i="1"/>
  <c r="K8" i="1" s="1"/>
  <c r="H9" i="1"/>
  <c r="K9" i="1" s="1"/>
  <c r="H10" i="1"/>
  <c r="H11" i="1"/>
  <c r="K11" i="1" s="1"/>
  <c r="H12" i="1"/>
  <c r="K12" i="1" s="1"/>
  <c r="H13" i="1"/>
  <c r="K13" i="1" s="1"/>
  <c r="H14" i="1"/>
  <c r="K14" i="1" s="1"/>
  <c r="H15" i="1"/>
  <c r="K15" i="1" s="1"/>
  <c r="H16" i="1"/>
  <c r="H17" i="1"/>
  <c r="K17" i="1" s="1"/>
  <c r="M17" i="1" s="1"/>
  <c r="H18" i="1"/>
  <c r="K18" i="1" s="1"/>
  <c r="H7" i="1"/>
  <c r="K7" i="1" s="1"/>
  <c r="R37" i="16" l="1"/>
  <c r="AW20" i="35" s="1"/>
  <c r="AW19" i="35"/>
  <c r="R29" i="16"/>
  <c r="AW12" i="35" s="1"/>
  <c r="AW11" i="35"/>
  <c r="X16" i="35"/>
  <c r="X25" i="35" s="1"/>
  <c r="K48" i="15"/>
  <c r="G16" i="37" s="1"/>
  <c r="AW9" i="35"/>
  <c r="R41" i="16"/>
  <c r="G79" i="37" s="1"/>
  <c r="R27" i="16"/>
  <c r="AW10" i="35" s="1"/>
  <c r="L23" i="9"/>
  <c r="M23" i="9"/>
  <c r="M5" i="9" s="1"/>
  <c r="I23" i="9"/>
  <c r="I5" i="9" s="1"/>
  <c r="M28" i="1"/>
  <c r="N28" i="1" s="1"/>
  <c r="J28" i="1"/>
  <c r="N35" i="1"/>
  <c r="M30" i="1"/>
  <c r="N30" i="1" s="1"/>
  <c r="J30" i="1"/>
  <c r="M31" i="1"/>
  <c r="N31" i="1" s="1"/>
  <c r="J31" i="1"/>
  <c r="J33" i="1"/>
  <c r="M33" i="1"/>
  <c r="N33" i="1" s="1"/>
  <c r="N26" i="1"/>
  <c r="M32" i="1"/>
  <c r="N32" i="1" s="1"/>
  <c r="J32" i="1"/>
  <c r="M34" i="1"/>
  <c r="N34" i="1" s="1"/>
  <c r="K25" i="1"/>
  <c r="J27" i="1"/>
  <c r="J35" i="1"/>
  <c r="J34" i="1"/>
  <c r="M29" i="1"/>
  <c r="N29" i="1" s="1"/>
  <c r="J29" i="1"/>
  <c r="M35" i="1"/>
  <c r="M26" i="1"/>
  <c r="J8" i="1"/>
  <c r="M8" i="1"/>
  <c r="N8" i="1" s="1"/>
  <c r="M9" i="1"/>
  <c r="N9" i="1" s="1"/>
  <c r="M10" i="1"/>
  <c r="N10" i="1" s="1"/>
  <c r="J18" i="1"/>
  <c r="M18" i="1"/>
  <c r="N18" i="1" s="1"/>
  <c r="M12" i="1"/>
  <c r="N12" i="1" s="1"/>
  <c r="J12" i="1"/>
  <c r="M14" i="1"/>
  <c r="N14" i="1"/>
  <c r="J14" i="1"/>
  <c r="J15" i="1"/>
  <c r="M15" i="1"/>
  <c r="N15" i="1"/>
  <c r="J13" i="1"/>
  <c r="M13" i="1"/>
  <c r="N13" i="1"/>
  <c r="J11" i="1"/>
  <c r="J19" i="1" s="1"/>
  <c r="J20" i="1" s="1"/>
  <c r="M11" i="1"/>
  <c r="N11" i="1" s="1"/>
  <c r="N17" i="1"/>
  <c r="J17" i="1"/>
  <c r="N16" i="1"/>
  <c r="J16" i="1"/>
  <c r="H19" i="1"/>
  <c r="K19" i="1"/>
  <c r="J9" i="1"/>
  <c r="R42" i="16" l="1"/>
  <c r="R44" i="16"/>
  <c r="R48" i="16" s="1"/>
  <c r="G80" i="37" s="1"/>
  <c r="K96" i="15"/>
  <c r="I24" i="9"/>
  <c r="C7" i="4"/>
  <c r="F9" i="3" s="1"/>
  <c r="J25" i="1"/>
  <c r="J37" i="1" s="1"/>
  <c r="K37" i="1"/>
  <c r="M25" i="1"/>
  <c r="M37" i="1" s="1"/>
  <c r="M19" i="1"/>
  <c r="N7" i="1"/>
  <c r="N19" i="1" s="1"/>
  <c r="S49" i="16" l="1"/>
  <c r="H81" i="37" s="1"/>
  <c r="R53" i="16"/>
  <c r="L9" i="3"/>
  <c r="M9" i="3"/>
  <c r="I9" i="3"/>
  <c r="D9" i="3"/>
  <c r="D15" i="3" s="1"/>
  <c r="N9" i="3"/>
  <c r="G9" i="3"/>
  <c r="O9" i="3"/>
  <c r="K9" i="3"/>
  <c r="H9" i="3"/>
  <c r="J9" i="3"/>
  <c r="E9" i="3"/>
  <c r="J38" i="1"/>
  <c r="N25" i="1"/>
  <c r="N37" i="1" s="1"/>
  <c r="K34" i="16" l="1"/>
  <c r="S50" i="16"/>
  <c r="S51" i="16"/>
  <c r="G15" i="3"/>
  <c r="H15" i="3"/>
  <c r="I15" i="3"/>
  <c r="J15" i="3"/>
  <c r="K15" i="3"/>
  <c r="L15" i="3"/>
  <c r="M15" i="3"/>
  <c r="F15" i="3"/>
  <c r="N15" i="3"/>
  <c r="O15" i="3"/>
  <c r="P9" i="3"/>
  <c r="Y75" i="35" l="1"/>
  <c r="K36" i="16"/>
  <c r="H52" i="37" s="1"/>
  <c r="L56" i="15"/>
  <c r="P10" i="3"/>
  <c r="E15" i="3"/>
  <c r="P15" i="3" s="1"/>
  <c r="L53" i="15" l="1"/>
  <c r="H24" i="37" s="1"/>
  <c r="Y33" i="35"/>
  <c r="K37" i="16"/>
  <c r="H53" i="37" s="1"/>
  <c r="Y77" i="35"/>
  <c r="Q22" i="17"/>
  <c r="O22" i="17"/>
  <c r="K22" i="17"/>
  <c r="P22" i="17"/>
  <c r="I22" i="17"/>
  <c r="J22" i="17"/>
  <c r="M22" i="17"/>
  <c r="N22" i="17"/>
  <c r="L22" i="17"/>
  <c r="J13" i="27" s="1"/>
  <c r="J14" i="27" s="1"/>
  <c r="J27" i="27" s="1"/>
  <c r="J28" i="27" s="1"/>
  <c r="N30" i="17" s="1"/>
  <c r="H22" i="17"/>
  <c r="G44" i="17"/>
  <c r="G55" i="17" s="1"/>
  <c r="G56" i="17" s="1"/>
  <c r="H10" i="17" s="1"/>
  <c r="Y78" i="35" l="1"/>
  <c r="K38" i="16"/>
  <c r="H54" i="37" s="1"/>
  <c r="Y30" i="35"/>
  <c r="Y51" i="35" s="1"/>
  <c r="S72" i="16"/>
  <c r="S73" i="16" s="1"/>
  <c r="S78" i="16" s="1"/>
  <c r="S13" i="16" s="1"/>
  <c r="H69" i="37" s="1"/>
  <c r="S84" i="16"/>
  <c r="L95" i="15"/>
  <c r="F13" i="27"/>
  <c r="F14" i="27" s="1"/>
  <c r="F27" i="27" s="1"/>
  <c r="F28" i="27" s="1"/>
  <c r="J30" i="17" s="1"/>
  <c r="J44" i="17" s="1"/>
  <c r="J55" i="17" s="1"/>
  <c r="S22" i="17"/>
  <c r="T22" i="17" s="1"/>
  <c r="I44" i="17"/>
  <c r="I55" i="17" s="1"/>
  <c r="G13" i="27"/>
  <c r="G14" i="27" s="1"/>
  <c r="G27" i="27" s="1"/>
  <c r="G28" i="27" s="1"/>
  <c r="K30" i="17" s="1"/>
  <c r="K44" i="17" s="1"/>
  <c r="K55" i="17" s="1"/>
  <c r="N13" i="27"/>
  <c r="N14" i="27" s="1"/>
  <c r="N27" i="27" s="1"/>
  <c r="N28" i="27" s="1"/>
  <c r="R30" i="17" s="1"/>
  <c r="R44" i="17" s="1"/>
  <c r="R55" i="17" s="1"/>
  <c r="H13" i="27"/>
  <c r="H14" i="27" s="1"/>
  <c r="H27" i="27" s="1"/>
  <c r="H28" i="27" s="1"/>
  <c r="L30" i="17" s="1"/>
  <c r="L44" i="17" s="1"/>
  <c r="L55" i="17" s="1"/>
  <c r="I13" i="27"/>
  <c r="I14" i="27" s="1"/>
  <c r="I27" i="27" s="1"/>
  <c r="I28" i="27" s="1"/>
  <c r="M30" i="17" s="1"/>
  <c r="M44" i="17" s="1"/>
  <c r="M55" i="17" s="1"/>
  <c r="M13" i="27"/>
  <c r="M14" i="27" s="1"/>
  <c r="M27" i="27" s="1"/>
  <c r="M28" i="27" s="1"/>
  <c r="Q30" i="17" s="1"/>
  <c r="Q44" i="17" s="1"/>
  <c r="Q55" i="17" s="1"/>
  <c r="N44" i="17"/>
  <c r="N55" i="17" s="1"/>
  <c r="L13" i="27"/>
  <c r="L14" i="27" s="1"/>
  <c r="L27" i="27" s="1"/>
  <c r="O13" i="27"/>
  <c r="P13" i="27"/>
  <c r="P14" i="27" s="1"/>
  <c r="P27" i="27" s="1"/>
  <c r="P28" i="27" s="1"/>
  <c r="H86" i="17" s="1"/>
  <c r="H100" i="17" s="1"/>
  <c r="H111" i="17" s="1"/>
  <c r="K13" i="27"/>
  <c r="K14" i="27" s="1"/>
  <c r="K27" i="27" s="1"/>
  <c r="K28" i="27" s="1"/>
  <c r="O30" i="17" s="1"/>
  <c r="O44" i="17" s="1"/>
  <c r="O55" i="17" s="1"/>
  <c r="H44" i="17"/>
  <c r="H55" i="17" s="1"/>
  <c r="H56" i="17" s="1"/>
  <c r="I10" i="17" s="1"/>
  <c r="S22" i="16" l="1"/>
  <c r="H70" i="37" s="1"/>
  <c r="K39" i="16"/>
  <c r="Y79" i="35"/>
  <c r="L46" i="15"/>
  <c r="H23" i="37" s="1"/>
  <c r="S34" i="16"/>
  <c r="H77" i="37" s="1"/>
  <c r="I56" i="17"/>
  <c r="J10" i="17" s="1"/>
  <c r="J56" i="17" s="1"/>
  <c r="K10" i="17" s="1"/>
  <c r="K56" i="17" s="1"/>
  <c r="L10" i="17" s="1"/>
  <c r="L56" i="17" s="1"/>
  <c r="M10" i="17" s="1"/>
  <c r="M56" i="17" s="1"/>
  <c r="N10" i="17" s="1"/>
  <c r="N56" i="17" s="1"/>
  <c r="O10" i="17" s="1"/>
  <c r="O56" i="17" s="1"/>
  <c r="P10" i="17" s="1"/>
  <c r="L28" i="27"/>
  <c r="P30" i="17" s="1"/>
  <c r="P44" i="17" s="1"/>
  <c r="P55" i="17" s="1"/>
  <c r="Q13" i="27"/>
  <c r="O14" i="27"/>
  <c r="L47" i="15" l="1"/>
  <c r="K40" i="16"/>
  <c r="S35" i="16"/>
  <c r="AX18" i="35" s="1"/>
  <c r="AX17" i="35"/>
  <c r="Y24" i="35"/>
  <c r="S28" i="16"/>
  <c r="H74" i="37" s="1"/>
  <c r="S89" i="16"/>
  <c r="S36" i="16" s="1"/>
  <c r="H78" i="37" s="1"/>
  <c r="S26" i="16"/>
  <c r="H73" i="37" s="1"/>
  <c r="L35" i="15"/>
  <c r="P56" i="17"/>
  <c r="Q10" i="17" s="1"/>
  <c r="Q56" i="17" s="1"/>
  <c r="R10" i="17" s="1"/>
  <c r="R56" i="17" s="1"/>
  <c r="G66" i="17" s="1"/>
  <c r="S30" i="17"/>
  <c r="S44" i="17" s="1"/>
  <c r="S55" i="17" s="1"/>
  <c r="Q14" i="27"/>
  <c r="O27" i="27"/>
  <c r="AX19" i="35" l="1"/>
  <c r="S37" i="16"/>
  <c r="AX20" i="35" s="1"/>
  <c r="L48" i="15"/>
  <c r="H16" i="37" s="1"/>
  <c r="Y16" i="35"/>
  <c r="Y25" i="35" s="1"/>
  <c r="AX9" i="35"/>
  <c r="S41" i="16"/>
  <c r="H79" i="37" s="1"/>
  <c r="S27" i="16"/>
  <c r="AX10" i="35" s="1"/>
  <c r="S29" i="16"/>
  <c r="AX12" i="35" s="1"/>
  <c r="AX11" i="35"/>
  <c r="O28" i="27"/>
  <c r="Q27" i="27"/>
  <c r="S42" i="16" l="1"/>
  <c r="N95" i="15"/>
  <c r="N48" i="15" s="1"/>
  <c r="S44" i="16"/>
  <c r="S48" i="16" s="1"/>
  <c r="H80" i="37" s="1"/>
  <c r="L96" i="15"/>
  <c r="Q28" i="27"/>
  <c r="G86" i="17"/>
  <c r="G100" i="17" s="1"/>
  <c r="G111" i="17" s="1"/>
  <c r="G112" i="17" s="1"/>
  <c r="S53" i="16" l="1"/>
  <c r="S86" i="17"/>
  <c r="S100" i="17" s="1"/>
  <c r="S111" i="17" s="1"/>
  <c r="H66" i="17"/>
  <c r="H112" i="17" s="1"/>
  <c r="I66" i="17" s="1"/>
  <c r="I112" i="17" s="1"/>
  <c r="J66" i="17" s="1"/>
  <c r="J112" i="17" s="1"/>
  <c r="K66" i="17" s="1"/>
  <c r="K112" i="17" s="1"/>
  <c r="L66" i="17" s="1"/>
  <c r="L112" i="17" s="1"/>
  <c r="M66" i="17" s="1"/>
  <c r="M112" i="17" s="1"/>
  <c r="N66" i="17" s="1"/>
  <c r="N112" i="17" s="1"/>
  <c r="O66" i="17" s="1"/>
  <c r="O112" i="17" s="1"/>
  <c r="P66" i="17" s="1"/>
  <c r="P112" i="17" s="1"/>
  <c r="Q66" i="17" s="1"/>
  <c r="Q112" i="17" s="1"/>
  <c r="R66" i="17" s="1"/>
  <c r="R112"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G4" authorId="0" shapeId="0" xr:uid="{58867B88-42A7-4AB9-BAE1-966FA88259D8}">
      <text>
        <r>
          <rPr>
            <b/>
            <sz val="9"/>
            <color indexed="81"/>
            <rFont val="Tahoma"/>
            <family val="2"/>
          </rPr>
          <t>Laaksonen Aki:</t>
        </r>
        <r>
          <rPr>
            <sz val="9"/>
            <color indexed="81"/>
            <rFont val="Tahoma"/>
            <family val="2"/>
          </rPr>
          <t xml:space="preserve">
Merkitse tähän soluun kuinka monta asiakasta hinnoiteltavaan metsästysmatkailupakettiin kuuluu.</t>
        </r>
      </text>
    </comment>
    <comment ref="B6" authorId="0" shapeId="0" xr:uid="{59B6542D-96EA-47B6-8C02-4C9D5772BF9F}">
      <text>
        <r>
          <rPr>
            <b/>
            <sz val="9"/>
            <color indexed="81"/>
            <rFont val="Tahoma"/>
            <family val="2"/>
          </rPr>
          <t>Laaksonen Aki:</t>
        </r>
        <r>
          <rPr>
            <sz val="9"/>
            <color indexed="81"/>
            <rFont val="Tahoma"/>
            <family val="2"/>
          </rPr>
          <t xml:space="preserve">
</t>
        </r>
        <r>
          <rPr>
            <u/>
            <sz val="9"/>
            <color indexed="81"/>
            <rFont val="Tahoma"/>
            <family val="2"/>
          </rPr>
          <t>Esimerkki:</t>
        </r>
        <r>
          <rPr>
            <sz val="9"/>
            <color indexed="81"/>
            <rFont val="Tahoma"/>
            <family val="2"/>
          </rPr>
          <t xml:space="preserve">
Tässä on esimerkki, josta näet millainen paketti voisi olla ja millainen sen hinnoittelu voisi olla.</t>
        </r>
      </text>
    </comment>
    <comment ref="G42" authorId="0" shapeId="0" xr:uid="{117CBC78-E329-4DB8-AA53-5FA31A54133D}">
      <text>
        <r>
          <rPr>
            <b/>
            <sz val="9"/>
            <color indexed="81"/>
            <rFont val="Tahoma"/>
            <family val="2"/>
          </rPr>
          <t>Laaksonen Aki:</t>
        </r>
        <r>
          <rPr>
            <sz val="9"/>
            <color indexed="81"/>
            <rFont val="Tahoma"/>
            <family val="2"/>
          </rPr>
          <t xml:space="preserve">
Merkitse tähän soluun kuinka monta asiakasta hinnoiteltavaan metsästysmatkailupakettiin kuuluu.</t>
        </r>
      </text>
    </comment>
    <comment ref="G80" authorId="0" shapeId="0" xr:uid="{B2FA8787-9531-4E68-9368-57E036901C4F}">
      <text>
        <r>
          <rPr>
            <b/>
            <sz val="9"/>
            <color indexed="81"/>
            <rFont val="Tahoma"/>
            <family val="2"/>
          </rPr>
          <t>Laaksonen Aki:</t>
        </r>
        <r>
          <rPr>
            <sz val="9"/>
            <color indexed="81"/>
            <rFont val="Tahoma"/>
            <family val="2"/>
          </rPr>
          <t xml:space="preserve">
Merkitse tähän soluun kuinka monta asiakasta hinnoiteltavaan metsästysmatkailupakettiin kuuluu.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A43F7E02-42F0-4673-9907-258F92358689}">
      <text>
        <r>
          <rPr>
            <b/>
            <sz val="9"/>
            <color indexed="81"/>
            <rFont val="Tahoma"/>
            <family val="2"/>
          </rPr>
          <t>Laaksonen Aki:</t>
        </r>
        <r>
          <rPr>
            <sz val="9"/>
            <color indexed="81"/>
            <rFont val="Tahoma"/>
            <family val="2"/>
          </rPr>
          <t xml:space="preserve">
</t>
        </r>
        <r>
          <rPr>
            <b/>
            <u/>
            <sz val="9"/>
            <color indexed="81"/>
            <rFont val="Tahoma"/>
            <family val="2"/>
          </rPr>
          <t>Kassabudjetti:</t>
        </r>
        <r>
          <rPr>
            <sz val="9"/>
            <color indexed="81"/>
            <rFont val="Tahoma"/>
            <family val="2"/>
          </rPr>
          <t xml:space="preserve">
</t>
        </r>
        <r>
          <rPr>
            <b/>
            <sz val="9"/>
            <color indexed="81"/>
            <rFont val="Tahoma"/>
            <family val="2"/>
          </rPr>
          <t>Ohjelma laskee kassabudjetin ensimmäiselle ja toiselle ennustevuodelle, mutta tarvitsee seuraavia yrityskohtaisia tarkentavia "säätöjä".
Tärkeää! Arvioi käteis- ja laskutusmyynnin kuukausijakautuma prosentteina eli montako prosenttia on myynti eri kuukausina vuoden myynnistä (vuosi on 100 %).
4. Satunnaiset tuotot</t>
        </r>
        <r>
          <rPr>
            <sz val="9"/>
            <color indexed="81"/>
            <rFont val="Tahoma"/>
            <family val="2"/>
          </rPr>
          <t xml:space="preserve">
- Jos myydään kalustoa, lisää myyntitulot KOHTAAN 4. Myyntitulot löytyvät taulukosta 1 INVESTOINTISUUNNITELMA, kohta "15. Muu oma rahoitus".
</t>
        </r>
        <r>
          <rPr>
            <b/>
            <sz val="9"/>
            <color indexed="81"/>
            <rFont val="Tahoma"/>
            <family val="2"/>
          </rPr>
          <t>6. Aineet ja tarvikkeet</t>
        </r>
        <r>
          <rPr>
            <sz val="9"/>
            <color indexed="81"/>
            <rFont val="Tahoma"/>
            <family val="2"/>
          </rPr>
          <t xml:space="preserve">
- Sijoita ostot oikeille kuukausille.  
</t>
        </r>
        <r>
          <rPr>
            <b/>
            <sz val="9"/>
            <color indexed="81"/>
            <rFont val="Tahoma"/>
            <family val="2"/>
          </rPr>
          <t>8. Investoinnit sis. alv (kohta 22.) ja Investoinnit alv 0 % (kohta 23.)</t>
        </r>
        <r>
          <rPr>
            <sz val="9"/>
            <color indexed="81"/>
            <rFont val="Tahoma"/>
            <family val="2"/>
          </rPr>
          <t xml:space="preserve">
- Jos investointeja rahoitetaan leasingilla, vähennä rahoitusosuus investoinnin summasta.
</t>
        </r>
        <r>
          <rPr>
            <b/>
            <sz val="9"/>
            <color indexed="81"/>
            <rFont val="Tahoma"/>
            <family val="2"/>
          </rPr>
          <t>24. Liikehuoneisto-osakkeen hankinta</t>
        </r>
        <r>
          <rPr>
            <sz val="9"/>
            <color indexed="81"/>
            <rFont val="Tahoma"/>
            <family val="2"/>
          </rPr>
          <t xml:space="preserve">
- Osakkeiden hinta löytyy taulukosta 1 INVESTOINTISUUNNITELMAn kohdasta "8. Sijoitukset".
</t>
        </r>
        <r>
          <rPr>
            <b/>
            <sz val="9"/>
            <color indexed="81"/>
            <rFont val="Tahoma"/>
            <family val="2"/>
          </rPr>
          <t>29. Osingot, yksityisotot</t>
        </r>
        <r>
          <rPr>
            <sz val="9"/>
            <color indexed="81"/>
            <rFont val="Tahoma"/>
            <family val="2"/>
          </rPr>
          <t xml:space="preserve">
- Henkilöyhtiön yhtiömiehen yksityisotot ja osakkaalle maksetut osingot pitää muistaa merkitä
Kassabudjetti on ennuste ja kassabudjetin kuukausittaiseen saldoon vaikuttavat mm.: myynti, verovelat ja verosaatavat, palkkavelat työntekijöille ja omistajille, vakuutuksien palautukset. Näistä johtuen TASEen rahat ja pankkisaamiset eivät useimmiten ole sama summa kuin kassabudjetin kassavarat vuoden lopussa.</t>
        </r>
      </text>
    </comment>
    <comment ref="G9" authorId="0" shapeId="0" xr:uid="{0A6C59B7-9485-4C9E-9D70-8DCFF1F79CFF}">
      <text>
        <r>
          <rPr>
            <b/>
            <sz val="9"/>
            <color indexed="81"/>
            <rFont val="Tahoma"/>
            <family val="2"/>
          </rPr>
          <t>Laaksonen Aki:</t>
        </r>
        <r>
          <rPr>
            <sz val="9"/>
            <color indexed="81"/>
            <rFont val="Tahoma"/>
            <family val="2"/>
          </rPr>
          <t xml:space="preserve">
</t>
        </r>
        <r>
          <rPr>
            <b/>
            <u/>
            <sz val="9"/>
            <color indexed="81"/>
            <rFont val="Tahoma"/>
            <family val="2"/>
          </rPr>
          <t>Tilikauden aloituskuukausi:</t>
        </r>
        <r>
          <rPr>
            <sz val="9"/>
            <color indexed="81"/>
            <rFont val="Tahoma"/>
            <family val="2"/>
          </rPr>
          <t xml:space="preserve">
Kirjoita tilikauden aloituskuukausi muotoon kk/vvvv.
Esim. 06/202X</t>
        </r>
      </text>
    </comment>
    <comment ref="G10" authorId="0" shapeId="0" xr:uid="{94AC9FB7-F75B-42F6-A9D9-D11170A192F0}">
      <text>
        <r>
          <rPr>
            <b/>
            <sz val="9"/>
            <color indexed="81"/>
            <rFont val="Tahoma"/>
            <family val="2"/>
          </rPr>
          <t>Laaksonen Aki:</t>
        </r>
        <r>
          <rPr>
            <sz val="9"/>
            <color indexed="81"/>
            <rFont val="Tahoma"/>
            <family val="2"/>
          </rPr>
          <t xml:space="preserve">
</t>
        </r>
        <r>
          <rPr>
            <b/>
            <u/>
            <sz val="9"/>
            <color indexed="81"/>
            <rFont val="Tahoma"/>
            <family val="2"/>
          </rPr>
          <t>Alkusaldo:</t>
        </r>
        <r>
          <rPr>
            <sz val="9"/>
            <color indexed="81"/>
            <rFont val="Tahoma"/>
            <family val="2"/>
          </rPr>
          <t xml:space="preserve">
Toimiva yritys: rahavarat viimeisessä tilinpäätöksessä</t>
        </r>
      </text>
    </comment>
    <comment ref="G11" authorId="0" shapeId="0" xr:uid="{8F0BAD2E-E2ED-4A15-BCF3-BBA84CC1A5BA}">
      <text>
        <r>
          <rPr>
            <b/>
            <sz val="9"/>
            <color indexed="81"/>
            <rFont val="Tahoma"/>
            <family val="2"/>
          </rPr>
          <t>Laaksonen Aki:</t>
        </r>
        <r>
          <rPr>
            <sz val="9"/>
            <color indexed="81"/>
            <rFont val="Tahoma"/>
            <family val="2"/>
          </rPr>
          <t xml:space="preserve">
</t>
        </r>
        <r>
          <rPr>
            <b/>
            <u/>
            <sz val="9"/>
            <color indexed="81"/>
            <rFont val="Tahoma"/>
            <family val="2"/>
          </rPr>
          <t>Myyntisaamiset edelliseltä tilikaudelta:</t>
        </r>
        <r>
          <rPr>
            <sz val="9"/>
            <color indexed="81"/>
            <rFont val="Tahoma"/>
            <family val="2"/>
          </rPr>
          <t xml:space="preserve">
Summa lasketaan toteutuneen myyntisaamisten kiertoajan mukaan taulukosta 3 TASE solusta H49 tai I49.</t>
        </r>
      </text>
    </comment>
    <comment ref="E12" authorId="0" shapeId="0" xr:uid="{62309A05-B2E2-48DD-B0EE-86DC2A6F60E9}">
      <text>
        <r>
          <rPr>
            <b/>
            <sz val="9"/>
            <color indexed="81"/>
            <rFont val="Tahoma"/>
            <family val="2"/>
          </rPr>
          <t>Laaksonen Aki:</t>
        </r>
        <r>
          <rPr>
            <sz val="9"/>
            <color indexed="81"/>
            <rFont val="Tahoma"/>
            <family val="2"/>
          </rPr>
          <t xml:space="preserve">
</t>
        </r>
        <r>
          <rPr>
            <b/>
            <u/>
            <sz val="9"/>
            <color indexed="81"/>
            <rFont val="Tahoma"/>
            <family val="2"/>
          </rPr>
          <t>Käteismyynti (%-osuus):</t>
        </r>
        <r>
          <rPr>
            <sz val="9"/>
            <color indexed="81"/>
            <rFont val="Tahoma"/>
            <family val="2"/>
          </rPr>
          <t xml:space="preserve">
Merkitse tähän käteismyynnin prosenttiosuus kokonaismyynnistä.
Ennakkomaksut merkitään käteismyynniksi. (kts. 8 RAHOITUSSUUNNITELMA solu H54.)</t>
        </r>
      </text>
    </comment>
    <comment ref="F12" authorId="0" shapeId="0" xr:uid="{E4084F40-1D30-49AD-AE1B-0E2F290AEB41}">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12" authorId="0" shapeId="0" xr:uid="{19D65659-50BB-44F1-84C7-A9BF12E5FBF2}">
      <text>
        <r>
          <rPr>
            <b/>
            <sz val="9"/>
            <color indexed="81"/>
            <rFont val="Tahoma"/>
            <family val="2"/>
          </rPr>
          <t>Laaksonen Aki:</t>
        </r>
        <r>
          <rPr>
            <sz val="9"/>
            <color indexed="81"/>
            <rFont val="Tahoma"/>
            <family val="2"/>
          </rPr>
          <t xml:space="preserve">
</t>
        </r>
        <r>
          <rPr>
            <b/>
            <u/>
            <sz val="9"/>
            <color indexed="81"/>
            <rFont val="Tahoma"/>
            <family val="2"/>
          </rPr>
          <t>Käteismyynti:</t>
        </r>
        <r>
          <rPr>
            <sz val="9"/>
            <color indexed="81"/>
            <rFont val="Tahoma"/>
            <family val="2"/>
          </rPr>
          <t xml:space="preserve">
Laskentamalli laskee käteismyynnin osuuden annetun prosenttijakauman mukaan kuukausieriksi.</t>
        </r>
      </text>
    </comment>
    <comment ref="S12" authorId="0" shapeId="0" xr:uid="{A7EB8FCA-F3BE-44EE-B1DC-E842186FD240}">
      <text>
        <r>
          <rPr>
            <b/>
            <sz val="9"/>
            <color indexed="81"/>
            <rFont val="Tahoma"/>
            <family val="2"/>
          </rPr>
          <t>Laaksonen Aki:</t>
        </r>
        <r>
          <rPr>
            <sz val="9"/>
            <color indexed="81"/>
            <rFont val="Tahoma"/>
            <family val="2"/>
          </rPr>
          <t xml:space="preserve">
</t>
        </r>
        <r>
          <rPr>
            <b/>
            <u/>
            <sz val="9"/>
            <color indexed="81"/>
            <rFont val="Tahoma"/>
            <family val="2"/>
          </rPr>
          <t>Käteismyynti:</t>
        </r>
        <r>
          <rPr>
            <sz val="9"/>
            <color indexed="81"/>
            <rFont val="Tahoma"/>
            <family val="2"/>
          </rPr>
          <t xml:space="preserve">
6 LIIKEVAIHTO vuosiennusteen mukaan laskettu käteismyynti.</t>
        </r>
      </text>
    </comment>
    <comment ref="G13" authorId="0" shapeId="0" xr:uid="{D51420DD-D090-4B0B-9579-68D241D665C6}">
      <text>
        <r>
          <rPr>
            <b/>
            <sz val="9"/>
            <color indexed="81"/>
            <rFont val="Tahoma"/>
            <family val="2"/>
          </rPr>
          <t>Laaksonen Aki:</t>
        </r>
        <r>
          <rPr>
            <sz val="9"/>
            <color indexed="81"/>
            <rFont val="Tahoma"/>
            <family val="2"/>
          </rPr>
          <t xml:space="preserve">
</t>
        </r>
        <r>
          <rPr>
            <b/>
            <u/>
            <sz val="9"/>
            <color indexed="81"/>
            <rFont val="Tahoma"/>
            <family val="2"/>
          </rPr>
          <t>Käteismyynnin kuukausijakauma (%):</t>
        </r>
        <r>
          <rPr>
            <sz val="9"/>
            <color indexed="81"/>
            <rFont val="Tahoma"/>
            <family val="2"/>
          </rPr>
          <t xml:space="preserve">
Luku tarkoittaa kuukauden myynnin prosenttiosuutta koko vuoden myynnistä.
Kuukausivaihtelut ovat yrityskohtaisia, huomioi myyntiin vaikuttavat tekijät mm. sesongit, lomat, huollot jne.
Koko vuosi on 100 %.
Jos myynti on yhtä suuri joka kuukausi, on luku 8,30 %.</t>
        </r>
      </text>
    </comment>
    <comment ref="F14" authorId="0" shapeId="0" xr:uid="{24139F1E-3AE8-42CC-B5D2-D6E5ACBC5D9A}">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14" authorId="0" shapeId="0" xr:uid="{22E2943D-3AD1-49A7-B5F8-48CE1209CC14}">
      <text>
        <r>
          <rPr>
            <b/>
            <sz val="9"/>
            <color indexed="81"/>
            <rFont val="Tahoma"/>
            <family val="2"/>
          </rPr>
          <t>Laaksonen Aki:</t>
        </r>
        <r>
          <rPr>
            <sz val="9"/>
            <color indexed="81"/>
            <rFont val="Tahoma"/>
            <family val="2"/>
          </rPr>
          <t xml:space="preserve">
</t>
        </r>
        <r>
          <rPr>
            <b/>
            <u/>
            <sz val="9"/>
            <color indexed="81"/>
            <rFont val="Tahoma"/>
            <family val="2"/>
          </rPr>
          <t>Laskutusmyynti:</t>
        </r>
        <r>
          <rPr>
            <sz val="9"/>
            <color indexed="81"/>
            <rFont val="Tahoma"/>
            <family val="2"/>
          </rPr>
          <t xml:space="preserve">
Laskentamalli laskee laskutusmyynnin osuuden annetun prosenttijakauman mukaan kuukausieriksi.</t>
        </r>
      </text>
    </comment>
    <comment ref="S14" authorId="0" shapeId="0" xr:uid="{C4745063-1CC7-4AE9-85D5-B2D3B9DE7513}">
      <text>
        <r>
          <rPr>
            <b/>
            <sz val="9"/>
            <color indexed="81"/>
            <rFont val="Tahoma"/>
            <family val="2"/>
          </rPr>
          <t>Laaksonen Aki:</t>
        </r>
        <r>
          <rPr>
            <sz val="9"/>
            <color indexed="81"/>
            <rFont val="Tahoma"/>
            <family val="2"/>
          </rPr>
          <t xml:space="preserve">
</t>
        </r>
        <r>
          <rPr>
            <b/>
            <u/>
            <sz val="9"/>
            <color indexed="81"/>
            <rFont val="Tahoma"/>
            <family val="2"/>
          </rPr>
          <t>Laskutusmyynti:</t>
        </r>
        <r>
          <rPr>
            <sz val="9"/>
            <color indexed="81"/>
            <rFont val="Tahoma"/>
            <family val="2"/>
          </rPr>
          <t xml:space="preserve">
6 LIIKEVAIHTO vuosiennusteen mukaan laskettu laskutusmyynti.</t>
        </r>
      </text>
    </comment>
    <comment ref="G15" authorId="0" shapeId="0" xr:uid="{89FE1DFE-69AE-404D-B045-E752D1B6ADE9}">
      <text>
        <r>
          <rPr>
            <b/>
            <sz val="9"/>
            <color indexed="81"/>
            <rFont val="Tahoma"/>
            <family val="2"/>
          </rPr>
          <t>Laaksonen Aki:</t>
        </r>
        <r>
          <rPr>
            <sz val="9"/>
            <color indexed="81"/>
            <rFont val="Tahoma"/>
            <family val="2"/>
          </rPr>
          <t xml:space="preserve">
</t>
        </r>
        <r>
          <rPr>
            <b/>
            <u/>
            <sz val="9"/>
            <color indexed="81"/>
            <rFont val="Tahoma"/>
            <family val="2"/>
          </rPr>
          <t>Käteismyynnin kuukausijakauma (%):</t>
        </r>
        <r>
          <rPr>
            <sz val="9"/>
            <color indexed="81"/>
            <rFont val="Tahoma"/>
            <family val="2"/>
          </rPr>
          <t xml:space="preserve">
Luku tarkoittaa kuukauden myynnin prosenttiosuutta koko vuoden myynnistä.
Kuukausivaihtelut ovat yrityskohtaisia, huomioi myyntiin vaikuttavat tekijät mm. sesongit, lomat, huollot jne.
Koko vuosi on 100 %.
Jos myynti on yhtä suuri joka kuukausi, on luku 8,30 %.</t>
        </r>
      </text>
    </comment>
    <comment ref="E16" authorId="0" shapeId="0" xr:uid="{AB88B6E1-4955-432F-B667-DCD038B2D10B}">
      <text>
        <r>
          <rPr>
            <b/>
            <sz val="9"/>
            <color indexed="81"/>
            <rFont val="Tahoma"/>
            <family val="2"/>
          </rPr>
          <t>Laaksonen Aki:</t>
        </r>
        <r>
          <rPr>
            <sz val="9"/>
            <color indexed="81"/>
            <rFont val="Tahoma"/>
            <family val="2"/>
          </rPr>
          <t xml:space="preserve">
</t>
        </r>
        <r>
          <rPr>
            <b/>
            <u/>
            <sz val="9"/>
            <color indexed="81"/>
            <rFont val="Tahoma"/>
            <family val="2"/>
          </rPr>
          <t>Asiakkaiden keskimääräinen maksuaika (päivää):</t>
        </r>
        <r>
          <rPr>
            <sz val="9"/>
            <color indexed="81"/>
            <rFont val="Tahoma"/>
            <family val="2"/>
          </rPr>
          <t xml:space="preserve">
Asiakkaiden keskimääräinen maksuaika päivissä. Pisin maksuaika on 180 päivää.
Laskennallinen luku löytyy 8 RAHOITUSSUUNNITELMA --&gt; Myyntisaamiset --&gt; Myyntisaamisten kiertonopeus.</t>
        </r>
      </text>
    </comment>
    <comment ref="G16" authorId="0" shapeId="0" xr:uid="{8A4D926D-3165-4AD7-9A03-A26FD2BDA7A2}">
      <text>
        <r>
          <rPr>
            <b/>
            <sz val="9"/>
            <color indexed="81"/>
            <rFont val="Tahoma"/>
            <family val="2"/>
          </rPr>
          <t>Laaksonen Aki:</t>
        </r>
        <r>
          <rPr>
            <sz val="9"/>
            <color indexed="81"/>
            <rFont val="Tahoma"/>
            <family val="2"/>
          </rPr>
          <t xml:space="preserve">
</t>
        </r>
        <r>
          <rPr>
            <b/>
            <u/>
            <sz val="9"/>
            <color indexed="81"/>
            <rFont val="Tahoma"/>
            <family val="2"/>
          </rPr>
          <t>Laskutusmyynti:</t>
        </r>
        <r>
          <rPr>
            <sz val="9"/>
            <color indexed="81"/>
            <rFont val="Tahoma"/>
            <family val="2"/>
          </rPr>
          <t xml:space="preserve">
Laskentamalli laskee laskutusmyynnistä saatavat kuukausitulot maksuehdon perusteella (esim. 14 päivää).</t>
        </r>
      </text>
    </comment>
    <comment ref="F17" authorId="0" shapeId="0" xr:uid="{4D816DCB-0AF9-4CEF-84D5-E0DF10DDDE3E}">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17" authorId="0" shapeId="0" xr:uid="{9477BCEE-D45F-49C5-9E5A-69F1E1BCEF88}">
      <text>
        <r>
          <rPr>
            <b/>
            <sz val="9"/>
            <color indexed="81"/>
            <rFont val="Tahoma"/>
            <family val="2"/>
          </rPr>
          <t>Laaksonen Aki:</t>
        </r>
        <r>
          <rPr>
            <sz val="9"/>
            <color indexed="81"/>
            <rFont val="Tahoma"/>
            <family val="2"/>
          </rPr>
          <t xml:space="preserve">
</t>
        </r>
        <r>
          <rPr>
            <b/>
            <u/>
            <sz val="9"/>
            <color indexed="81"/>
            <rFont val="Tahoma"/>
            <family val="2"/>
          </rPr>
          <t>Muut tuotot sis. alv:</t>
        </r>
        <r>
          <rPr>
            <sz val="9"/>
            <color indexed="81"/>
            <rFont val="Tahoma"/>
            <family val="2"/>
          </rPr>
          <t xml:space="preserve">
Muita alv-tuottoja ovat (</t>
        </r>
        <r>
          <rPr>
            <b/>
            <sz val="9"/>
            <color indexed="81"/>
            <rFont val="Tahoma"/>
            <family val="2"/>
          </rPr>
          <t>laskettu tasaerinä kuukausille, korjaa tarvittaessa</t>
        </r>
        <r>
          <rPr>
            <sz val="9"/>
            <color indexed="81"/>
            <rFont val="Tahoma"/>
            <family val="2"/>
          </rPr>
          <t xml:space="preserve">)
- Liiketoiminnan muut tuotot (myös alv 0 % tuotot, huomioi alv-prosentti)
</t>
        </r>
        <r>
          <rPr>
            <b/>
            <sz val="9"/>
            <color indexed="81"/>
            <rFont val="Tahoma"/>
            <family val="2"/>
          </rPr>
          <t>Lisää</t>
        </r>
        <r>
          <rPr>
            <sz val="9"/>
            <color indexed="81"/>
            <rFont val="Tahoma"/>
            <family val="2"/>
          </rPr>
          <t xml:space="preserve">
- Esim. saneerauksen yhteydessä myydyt koneet, valmistusoikeudet yms.</t>
        </r>
      </text>
    </comment>
    <comment ref="G18" authorId="0" shapeId="0" xr:uid="{C5C8494B-F758-4C78-AF5D-4201ECF1BABF}">
      <text>
        <r>
          <rPr>
            <b/>
            <sz val="9"/>
            <color indexed="81"/>
            <rFont val="Tahoma"/>
            <family val="2"/>
          </rPr>
          <t>Laaksonen Aki:</t>
        </r>
        <r>
          <rPr>
            <sz val="9"/>
            <color indexed="81"/>
            <rFont val="Tahoma"/>
            <family val="2"/>
          </rPr>
          <t xml:space="preserve">
</t>
        </r>
        <r>
          <rPr>
            <b/>
            <u/>
            <sz val="9"/>
            <color indexed="81"/>
            <rFont val="Tahoma"/>
            <family val="2"/>
          </rPr>
          <t>Muut tuotot alv 0 %:</t>
        </r>
        <r>
          <rPr>
            <sz val="9"/>
            <color indexed="81"/>
            <rFont val="Tahoma"/>
            <family val="2"/>
          </rPr>
          <t xml:space="preserve">
- Taulukosta 5 KUSTANNUKSET solun G30 Vakuutuskorvaukset kuukausierinä.
- Yritystukien tuloutus, lisätty 7. kuukaudelle. Muuta tarvittaessa.</t>
        </r>
      </text>
    </comment>
    <comment ref="M18" authorId="0" shapeId="0" xr:uid="{B9C1C2DA-B5B6-4622-AD7F-7C8AA6245E8D}">
      <text>
        <r>
          <rPr>
            <b/>
            <sz val="9"/>
            <color indexed="81"/>
            <rFont val="Tahoma"/>
            <family val="2"/>
          </rPr>
          <t>Laaksonen Aki:</t>
        </r>
        <r>
          <rPr>
            <sz val="9"/>
            <color indexed="81"/>
            <rFont val="Tahoma"/>
            <family val="2"/>
          </rPr>
          <t xml:space="preserve">
</t>
        </r>
        <r>
          <rPr>
            <b/>
            <u/>
            <sz val="9"/>
            <color indexed="81"/>
            <rFont val="Tahoma"/>
            <family val="2"/>
          </rPr>
          <t>Muut tuotot alv 0 % (yritystuet, vakuutuskorvaukset yms.)</t>
        </r>
        <r>
          <rPr>
            <sz val="9"/>
            <color indexed="81"/>
            <rFont val="Tahoma"/>
            <family val="2"/>
          </rPr>
          <t xml:space="preserve">
Laskentamalli lisää ELY-keskuksen avustuksen tuloutuvan 7. kuukautena.
Vaihda summa tarvittaessa eri kuukaudelle.</t>
        </r>
      </text>
    </comment>
    <comment ref="F22" authorId="0" shapeId="0" xr:uid="{7BB7AA60-E5AF-4E22-8A7F-5A5FD14773A8}">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22" authorId="0" shapeId="0" xr:uid="{5F5CD20F-7D8C-4EFA-B264-CF48022ECFD3}">
      <text>
        <r>
          <rPr>
            <b/>
            <sz val="9"/>
            <color indexed="81"/>
            <rFont val="Tahoma"/>
            <family val="2"/>
          </rPr>
          <t>Laaksonen Aki:</t>
        </r>
        <r>
          <rPr>
            <sz val="9"/>
            <color indexed="81"/>
            <rFont val="Tahoma"/>
            <family val="2"/>
          </rPr>
          <t xml:space="preserve">
</t>
        </r>
        <r>
          <rPr>
            <b/>
            <u/>
            <sz val="9"/>
            <color indexed="81"/>
            <rFont val="Tahoma"/>
            <family val="2"/>
          </rPr>
          <t>Aineet ja tarvikkeet:</t>
        </r>
        <r>
          <rPr>
            <sz val="9"/>
            <color indexed="81"/>
            <rFont val="Tahoma"/>
            <family val="2"/>
          </rPr>
          <t xml:space="preserve">
Laskentamalli laskee myynnin mukaan tarvittavat aine- ja tarvikehankinnat.
Kuinka suurina erinä ostetaan ja mille kuukausille laskut saapuvat?
Muuta taulukkoon tarvittaessa.</t>
        </r>
      </text>
    </comment>
    <comment ref="T22" authorId="0" shapeId="0" xr:uid="{8693139D-3CC4-4CAF-838F-2DA914BAC215}">
      <text>
        <r>
          <rPr>
            <b/>
            <sz val="9"/>
            <color indexed="81"/>
            <rFont val="Tahoma"/>
            <family val="2"/>
          </rPr>
          <t>Laaksonen Aki:</t>
        </r>
        <r>
          <rPr>
            <sz val="9"/>
            <color indexed="81"/>
            <rFont val="Tahoma"/>
            <family val="2"/>
          </rPr>
          <t xml:space="preserve">
</t>
        </r>
        <r>
          <rPr>
            <b/>
            <u/>
            <sz val="9"/>
            <color indexed="81"/>
            <rFont val="Tahoma"/>
            <family val="2"/>
          </rPr>
          <t>Erotus:</t>
        </r>
        <r>
          <rPr>
            <sz val="9"/>
            <color indexed="81"/>
            <rFont val="Tahoma"/>
            <family val="2"/>
          </rPr>
          <t xml:space="preserve">
Kassabudjetin erotus tilikauden tavoitteeseen verrattuna.</t>
        </r>
      </text>
    </comment>
    <comment ref="E23" authorId="0" shapeId="0" xr:uid="{9029E205-76A9-42C0-97D4-635CC1B5A353}">
      <text>
        <r>
          <rPr>
            <b/>
            <sz val="9"/>
            <color indexed="81"/>
            <rFont val="Tahoma"/>
            <family val="2"/>
          </rPr>
          <t>Laaksonen Aki:</t>
        </r>
        <r>
          <rPr>
            <sz val="9"/>
            <color indexed="81"/>
            <rFont val="Tahoma"/>
            <family val="2"/>
          </rPr>
          <t xml:space="preserve">
</t>
        </r>
        <r>
          <rPr>
            <b/>
            <u/>
            <sz val="9"/>
            <color indexed="81"/>
            <rFont val="Tahoma"/>
            <family val="2"/>
          </rPr>
          <t>Ostovelat edelliseltä tilikaudelta, maksuaika (päivää):</t>
        </r>
        <r>
          <rPr>
            <sz val="9"/>
            <color indexed="81"/>
            <rFont val="Tahoma"/>
            <family val="2"/>
          </rPr>
          <t xml:space="preserve">
Ostovelkojen kiertoaika on sama kuin 8 RAHOITUSSUUNNITELMA solussa H52.
Pisin maksuaika on 90 päivää.</t>
        </r>
      </text>
    </comment>
    <comment ref="F25" authorId="0" shapeId="0" xr:uid="{CD02487B-8D02-4833-8B9A-850D4224E26A}">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AT25" authorId="0" shapeId="0" xr:uid="{DBB304DD-6EDC-4172-B4AD-B26D26B5E911}">
      <text>
        <r>
          <rPr>
            <b/>
            <sz val="9"/>
            <color indexed="81"/>
            <rFont val="Tahoma"/>
            <family val="2"/>
          </rPr>
          <t>Laaksonen Aki:</t>
        </r>
        <r>
          <rPr>
            <sz val="9"/>
            <color indexed="81"/>
            <rFont val="Tahoma"/>
            <family val="2"/>
          </rPr>
          <t xml:space="preserve">
</t>
        </r>
        <r>
          <rPr>
            <b/>
            <u/>
            <sz val="9"/>
            <color indexed="81"/>
            <rFont val="Tahoma"/>
            <family val="2"/>
          </rPr>
          <t xml:space="preserve">
Sairausvakuutusmaksu:</t>
        </r>
        <r>
          <rPr>
            <sz val="9"/>
            <color indexed="81"/>
            <rFont val="Tahoma"/>
            <family val="2"/>
          </rPr>
          <t xml:space="preserve">
Sairausvakuutusmaksu, pitää päivittää oikean vuoden mukaiseen arvoon.
Vuonna </t>
        </r>
        <r>
          <rPr>
            <b/>
            <sz val="9"/>
            <color indexed="81"/>
            <rFont val="Tahoma"/>
            <family val="2"/>
          </rPr>
          <t>2026</t>
        </r>
        <r>
          <rPr>
            <sz val="9"/>
            <color indexed="81"/>
            <rFont val="Tahoma"/>
            <family val="2"/>
          </rPr>
          <t xml:space="preserve"> sairausvakuutusmaksu on </t>
        </r>
        <r>
          <rPr>
            <b/>
            <sz val="9"/>
            <color indexed="81"/>
            <rFont val="Tahoma"/>
            <family val="2"/>
          </rPr>
          <t>1,91 %</t>
        </r>
        <r>
          <rPr>
            <sz val="9"/>
            <color indexed="81"/>
            <rFont val="Tahoma"/>
            <family val="2"/>
          </rPr>
          <t>.</t>
        </r>
      </text>
    </comment>
    <comment ref="BB25" authorId="0" shapeId="0" xr:uid="{DDDC82F5-5A79-4CC9-99DB-B2C65F1ADCE3}">
      <text>
        <r>
          <rPr>
            <b/>
            <sz val="9"/>
            <color indexed="81"/>
            <rFont val="Tahoma"/>
            <family val="2"/>
          </rPr>
          <t>Laaksonen Aki:</t>
        </r>
        <r>
          <rPr>
            <sz val="9"/>
            <color indexed="81"/>
            <rFont val="Tahoma"/>
            <family val="2"/>
          </rPr>
          <t xml:space="preserve">
</t>
        </r>
        <r>
          <rPr>
            <b/>
            <u/>
            <sz val="9"/>
            <color indexed="81"/>
            <rFont val="Tahoma"/>
            <family val="2"/>
          </rPr>
          <t xml:space="preserve">
Työntekijän maksut:</t>
        </r>
        <r>
          <rPr>
            <sz val="9"/>
            <color indexed="81"/>
            <rFont val="Tahoma"/>
            <family val="2"/>
          </rPr>
          <t xml:space="preserve">
Työntekijä maksaa vuonna </t>
        </r>
        <r>
          <rPr>
            <b/>
            <sz val="9"/>
            <color indexed="81"/>
            <rFont val="Tahoma"/>
            <family val="2"/>
          </rPr>
          <t>2026</t>
        </r>
        <r>
          <rPr>
            <sz val="9"/>
            <color indexed="81"/>
            <rFont val="Tahoma"/>
            <family val="2"/>
          </rPr>
          <t>:
- Työttömyysvakuutusmaksu 0,89 %
- TyEL-maksu 7,30 %
= Yhteensä 8,19 %</t>
        </r>
      </text>
    </comment>
    <comment ref="F26" authorId="0" shapeId="0" xr:uid="{776CF270-338E-49FD-9C2D-F71E3CA9883A}">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26" authorId="0" shapeId="0" xr:uid="{978A36D8-F621-46E2-BD34-6A3B9A30E68A}">
      <text>
        <r>
          <rPr>
            <b/>
            <sz val="9"/>
            <color indexed="81"/>
            <rFont val="Tahoma"/>
            <family val="2"/>
          </rPr>
          <t>Laaksonen Aki:</t>
        </r>
        <r>
          <rPr>
            <sz val="9"/>
            <color indexed="81"/>
            <rFont val="Tahoma"/>
            <family val="2"/>
          </rPr>
          <t xml:space="preserve">
</t>
        </r>
        <r>
          <rPr>
            <b/>
            <u/>
            <sz val="9"/>
            <color indexed="81"/>
            <rFont val="Tahoma"/>
            <family val="2"/>
          </rPr>
          <t>Investoinnit (sis. alv)</t>
        </r>
        <r>
          <rPr>
            <sz val="9"/>
            <color indexed="81"/>
            <rFont val="Tahoma"/>
            <family val="2"/>
          </rPr>
          <t xml:space="preserve">
Vähennä leasingrahoituksella hankittavat investoinnit.
Sijoita investoinnit oikeille kuukausille.</t>
        </r>
      </text>
    </comment>
    <comment ref="F27" authorId="0" shapeId="0" xr:uid="{299F561A-22B7-4D53-805E-6370CB145FC9}">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F28" authorId="0" shapeId="0" xr:uid="{DAC96350-756C-4B72-AC7D-D8E51BDB0E5A}">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F29" authorId="0" shapeId="0" xr:uid="{4961FCB4-838D-4B9A-95B6-688AA8BF4336}">
      <text>
        <r>
          <rPr>
            <b/>
            <sz val="9"/>
            <color indexed="81"/>
            <rFont val="Tahoma"/>
            <family val="2"/>
          </rPr>
          <t>Laaksonen Aki:</t>
        </r>
        <r>
          <rPr>
            <sz val="9"/>
            <color indexed="81"/>
            <rFont val="Tahoma"/>
            <family val="2"/>
          </rPr>
          <t xml:space="preserve">
</t>
        </r>
        <r>
          <rPr>
            <b/>
            <u/>
            <sz val="9"/>
            <color indexed="81"/>
            <rFont val="Tahoma"/>
            <family val="2"/>
          </rPr>
          <t>Muut kiinteät kulut (sis. alv):</t>
        </r>
        <r>
          <rPr>
            <sz val="9"/>
            <color indexed="81"/>
            <rFont val="Tahoma"/>
            <family val="2"/>
          </rPr>
          <t xml:space="preserve">
Laskennallinen painotettu keskiarvo.</t>
        </r>
      </text>
    </comment>
    <comment ref="D30" authorId="0" shapeId="0" xr:uid="{5E18027D-B206-470E-A4BA-94B67FD45B35}">
      <text>
        <r>
          <rPr>
            <b/>
            <sz val="9"/>
            <color indexed="81"/>
            <rFont val="Tahoma"/>
            <family val="2"/>
          </rPr>
          <t>Laaksonen Aki:</t>
        </r>
        <r>
          <rPr>
            <sz val="9"/>
            <color indexed="81"/>
            <rFont val="Tahoma"/>
            <family val="2"/>
          </rPr>
          <t xml:space="preserve">
</t>
        </r>
        <r>
          <rPr>
            <b/>
            <u/>
            <sz val="9"/>
            <color indexed="81"/>
            <rFont val="Tahoma"/>
            <family val="2"/>
          </rPr>
          <t>Maksettava arvonlisävero:</t>
        </r>
        <r>
          <rPr>
            <sz val="9"/>
            <color indexed="81"/>
            <rFont val="Tahoma"/>
            <family val="2"/>
          </rPr>
          <t xml:space="preserve">
Arvonlisävero lasketaan viimeistä edellisen kuukauden alv-ostoista ja alv-myynneistä eli maaliskuun arvonlisäverot lasketaan tammikuun tapahtumista.</t>
        </r>
      </text>
    </comment>
    <comment ref="F33" authorId="0" shapeId="0" xr:uid="{8DFFFB65-D17F-426A-84F4-B844C4AE8065}">
      <text>
        <r>
          <rPr>
            <b/>
            <sz val="9"/>
            <color indexed="81"/>
            <rFont val="Tahoma"/>
            <family val="2"/>
          </rPr>
          <t>Laaksonen Aki:</t>
        </r>
        <r>
          <rPr>
            <sz val="9"/>
            <color indexed="81"/>
            <rFont val="Tahoma"/>
            <family val="2"/>
          </rPr>
          <t xml:space="preserve">
</t>
        </r>
        <r>
          <rPr>
            <b/>
            <u/>
            <sz val="9"/>
            <color indexed="81"/>
            <rFont val="Tahoma"/>
            <family val="2"/>
          </rPr>
          <t>YEL-eläkemaksut ja tapaturmavakuutusmaksu:</t>
        </r>
        <r>
          <rPr>
            <sz val="9"/>
            <color indexed="81"/>
            <rFont val="Tahoma"/>
            <family val="2"/>
          </rPr>
          <t xml:space="preserve">
</t>
        </r>
        <r>
          <rPr>
            <b/>
            <sz val="9"/>
            <color indexed="81"/>
            <rFont val="Tahoma"/>
            <family val="2"/>
          </rPr>
          <t>YEL-maksut yhteensä</t>
        </r>
        <r>
          <rPr>
            <sz val="9"/>
            <color indexed="81"/>
            <rFont val="Tahoma"/>
            <family val="2"/>
          </rPr>
          <t xml:space="preserve"> sisältäen yrittäjän ammattitauti- ja tapaturmavakuutusmaksun.
</t>
        </r>
        <r>
          <rPr>
            <b/>
            <sz val="9"/>
            <color indexed="81"/>
            <rFont val="Tahoma"/>
            <family val="2"/>
          </rPr>
          <t>Vuonna 2026:</t>
        </r>
        <r>
          <rPr>
            <sz val="9"/>
            <color indexed="81"/>
            <rFont val="Tahoma"/>
            <family val="2"/>
          </rPr>
          <t xml:space="preserve">
YEL-vakuutusmaksu 24,4 %
</t>
        </r>
        <r>
          <rPr>
            <b/>
            <sz val="9"/>
            <color indexed="81"/>
            <rFont val="Tahoma"/>
            <family val="2"/>
          </rPr>
          <t>Uusi yrittäjä</t>
        </r>
        <r>
          <rPr>
            <sz val="9"/>
            <color indexed="81"/>
            <rFont val="Tahoma"/>
            <family val="2"/>
          </rPr>
          <t xml:space="preserve">
Uudelle yrittäjälle 4 ensimmäistä vuotta alennettuja YEL-vakuutusmaksu 19,03 %
Yrittäjän vapaaehtoinen tapaturmavakuutusmaksu noin 1,7 %
</t>
        </r>
        <r>
          <rPr>
            <b/>
            <sz val="9"/>
            <color indexed="81"/>
            <rFont val="Tahoma"/>
            <family val="2"/>
          </rPr>
          <t xml:space="preserve">
Yhteensä YEL ja tapaturmavakuutusmaksu</t>
        </r>
        <r>
          <rPr>
            <sz val="9"/>
            <color indexed="81"/>
            <rFont val="Tahoma"/>
            <family val="2"/>
          </rPr>
          <t xml:space="preserve">
- 26,1 %
- uusi yrittäjä 20,73 %</t>
        </r>
      </text>
    </comment>
    <comment ref="F34" authorId="0" shapeId="0" xr:uid="{25087323-886A-4C33-A510-3D8AD5CE0684}">
      <text>
        <r>
          <rPr>
            <b/>
            <sz val="9"/>
            <color indexed="81"/>
            <rFont val="Tahoma"/>
            <family val="2"/>
          </rPr>
          <t>Laaksonen Aki:</t>
        </r>
        <r>
          <rPr>
            <sz val="9"/>
            <color indexed="81"/>
            <rFont val="Tahoma"/>
            <family val="2"/>
          </rPr>
          <t xml:space="preserve">
</t>
        </r>
        <r>
          <rPr>
            <b/>
            <u/>
            <sz val="9"/>
            <color indexed="81"/>
            <rFont val="Tahoma"/>
            <family val="2"/>
          </rPr>
          <t xml:space="preserve">TyEL-maksut, pakolliset työntekijävakuutusmaksut:
</t>
        </r>
        <r>
          <rPr>
            <sz val="9"/>
            <color indexed="81"/>
            <rFont val="Tahoma"/>
            <family val="2"/>
          </rPr>
          <t xml:space="preserve">
</t>
        </r>
        <r>
          <rPr>
            <b/>
            <sz val="9"/>
            <color indexed="81"/>
            <rFont val="Tahoma"/>
            <family val="2"/>
          </rPr>
          <t>Vuosi 2026</t>
        </r>
        <r>
          <rPr>
            <sz val="9"/>
            <color indexed="81"/>
            <rFont val="Tahoma"/>
            <family val="2"/>
          </rPr>
          <t xml:space="preserve">
</t>
        </r>
        <r>
          <rPr>
            <b/>
            <u/>
            <sz val="9"/>
            <color indexed="81"/>
            <rFont val="Tahoma"/>
            <family val="2"/>
          </rPr>
          <t>Yritys maksaa keskimäärin:</t>
        </r>
        <r>
          <rPr>
            <sz val="9"/>
            <color indexed="81"/>
            <rFont val="Tahoma"/>
            <family val="2"/>
          </rPr>
          <t xml:space="preserve">
- TyEL-maksua keskimäärin 17,1 % + tilittää työntekijän osuuden keskimäärin 7,3 %.
- Tapaturmavakuutusta keskimäärin 0,51 % (tapaturma-alttiilla aloilla suurempi)
- Ryhmähenkivakuutusta 0,06 %
- Työttömyysvakuutusta 0,31 % (palkkasumma alle 2 455 500 euroa)
</t>
        </r>
        <r>
          <rPr>
            <b/>
            <sz val="9"/>
            <color indexed="81"/>
            <rFont val="Tahoma"/>
            <family val="2"/>
          </rPr>
          <t xml:space="preserve">
Yhteensä noin 25,28 %. (Korota tapaturma-alttiilla aloilla.)</t>
        </r>
        <r>
          <rPr>
            <sz val="9"/>
            <color indexed="81"/>
            <rFont val="Tahoma"/>
            <family val="2"/>
          </rPr>
          <t xml:space="preserve">
</t>
        </r>
      </text>
    </comment>
    <comment ref="T35" authorId="0" shapeId="0" xr:uid="{1DAC8420-A9BF-4361-81DC-233623D4825A}">
      <text>
        <r>
          <rPr>
            <b/>
            <sz val="9"/>
            <color indexed="81"/>
            <rFont val="Tahoma"/>
            <family val="2"/>
          </rPr>
          <t>Laaksonen Aki:</t>
        </r>
        <r>
          <rPr>
            <sz val="9"/>
            <color indexed="81"/>
            <rFont val="Tahoma"/>
            <family val="2"/>
          </rPr>
          <t xml:space="preserve">
</t>
        </r>
        <r>
          <rPr>
            <b/>
            <u/>
            <sz val="9"/>
            <color indexed="81"/>
            <rFont val="Tahoma"/>
            <family val="2"/>
          </rPr>
          <t>Erotus:</t>
        </r>
        <r>
          <rPr>
            <sz val="9"/>
            <color indexed="81"/>
            <rFont val="Tahoma"/>
            <family val="2"/>
          </rPr>
          <t xml:space="preserve">
Kassabudjetin erotus tilikauden tavoitteeseen verrattuna.</t>
        </r>
      </text>
    </comment>
    <comment ref="D38" authorId="0" shapeId="0" xr:uid="{0D6F31F0-6F88-4D63-B95E-CA2492AD6DA0}">
      <text>
        <r>
          <rPr>
            <b/>
            <sz val="9"/>
            <color indexed="81"/>
            <rFont val="Tahoma"/>
            <family val="2"/>
          </rPr>
          <t>Laaksonen Aki:</t>
        </r>
        <r>
          <rPr>
            <sz val="9"/>
            <color indexed="81"/>
            <rFont val="Tahoma"/>
            <family val="2"/>
          </rPr>
          <t xml:space="preserve">
</t>
        </r>
        <r>
          <rPr>
            <b/>
            <u/>
            <sz val="9"/>
            <color indexed="81"/>
            <rFont val="Tahoma"/>
            <family val="2"/>
          </rPr>
          <t>Rahoitusmenot (lainojen korkokustannukset):</t>
        </r>
        <r>
          <rPr>
            <sz val="9"/>
            <color indexed="81"/>
            <rFont val="Tahoma"/>
            <family val="2"/>
          </rPr>
          <t xml:space="preserve">
Ei sisällä osamaksuvelkojen korkoja, ne ovat kohdassa 26.
</t>
        </r>
      </text>
    </comment>
    <comment ref="G40" authorId="0" shapeId="0" xr:uid="{BCE45893-08C4-4E44-A54A-3CA93BBBC23C}">
      <text>
        <r>
          <rPr>
            <b/>
            <sz val="9"/>
            <color indexed="81"/>
            <rFont val="Tahoma"/>
            <family val="2"/>
          </rPr>
          <t>Laaksonen Aki:</t>
        </r>
        <r>
          <rPr>
            <sz val="9"/>
            <color indexed="81"/>
            <rFont val="Tahoma"/>
            <family val="2"/>
          </rPr>
          <t xml:space="preserve">
</t>
        </r>
        <r>
          <rPr>
            <b/>
            <sz val="9"/>
            <color indexed="81"/>
            <rFont val="Tahoma"/>
            <family val="2"/>
          </rPr>
          <t>Investoinnit (alv 0 %):</t>
        </r>
        <r>
          <rPr>
            <sz val="9"/>
            <color indexed="81"/>
            <rFont val="Tahoma"/>
            <family val="2"/>
          </rPr>
          <t xml:space="preserve">
Sijoita investoinnit oikeille kuukausille ja vähennä leasing-rahoituksella ostettavat investoinnit.
</t>
        </r>
        <r>
          <rPr>
            <b/>
            <sz val="9"/>
            <color indexed="81"/>
            <rFont val="Tahoma"/>
            <family val="2"/>
          </rPr>
          <t>Huomioi arvonlisävero!</t>
        </r>
        <r>
          <rPr>
            <sz val="9"/>
            <color indexed="81"/>
            <rFont val="Tahoma"/>
            <family val="2"/>
          </rPr>
          <t xml:space="preserve">
Tarkista sisältävätkö 1 INVESTOINTISUUNNITELMA kohta 7. Aineettomat hyödykkeet arvonlisäveroa. Jos sisältää, siirrä nämä investoinnit kassabudjetin kohtaan 8. Investoinnit (sis. alv).
</t>
        </r>
      </text>
    </comment>
    <comment ref="T47" authorId="0" shapeId="0" xr:uid="{3A695999-3FDF-4993-987B-F27CCC1FA93C}">
      <text>
        <r>
          <rPr>
            <b/>
            <sz val="9"/>
            <color indexed="81"/>
            <rFont val="Tahoma"/>
            <family val="2"/>
          </rPr>
          <t>Laaksonen Aki:</t>
        </r>
        <r>
          <rPr>
            <sz val="9"/>
            <color indexed="81"/>
            <rFont val="Tahoma"/>
            <family val="2"/>
          </rPr>
          <t xml:space="preserve">
</t>
        </r>
        <r>
          <rPr>
            <b/>
            <u/>
            <sz val="9"/>
            <color indexed="81"/>
            <rFont val="Tahoma"/>
            <family val="2"/>
          </rPr>
          <t>Erotus:</t>
        </r>
        <r>
          <rPr>
            <sz val="9"/>
            <color indexed="81"/>
            <rFont val="Tahoma"/>
            <family val="2"/>
          </rPr>
          <t xml:space="preserve">
Kassabudjetin erotus tilikauden tavoitteeseen verrattuna.</t>
        </r>
      </text>
    </comment>
    <comment ref="G48" authorId="0" shapeId="0" xr:uid="{DA190939-C3C9-46A6-B979-23C52E1BD001}">
      <text>
        <r>
          <rPr>
            <b/>
            <sz val="9"/>
            <color indexed="81"/>
            <rFont val="Tahoma"/>
            <family val="2"/>
          </rPr>
          <t>Laaksonen Aki:</t>
        </r>
        <r>
          <rPr>
            <sz val="9"/>
            <color indexed="81"/>
            <rFont val="Tahoma"/>
            <family val="2"/>
          </rPr>
          <t xml:space="preserve">
</t>
        </r>
        <r>
          <rPr>
            <b/>
            <u/>
            <sz val="9"/>
            <color indexed="81"/>
            <rFont val="Tahoma"/>
            <family val="2"/>
          </rPr>
          <t>Lainojen nostot ja osamaksujen lisäykset:</t>
        </r>
        <r>
          <rPr>
            <sz val="9"/>
            <color indexed="81"/>
            <rFont val="Tahoma"/>
            <family val="2"/>
          </rPr>
          <t xml:space="preserve">
Luku sisältää koko vuoden pitkäaikaiset laina- ja osamaksulisäykset taulukosta 4 LAINAT.
Lisää lyhytaikaiset ja muut ilman velkakirjaa nostetut lainat.</t>
        </r>
        <r>
          <rPr>
            <b/>
            <sz val="9"/>
            <color indexed="81"/>
            <rFont val="Tahoma"/>
            <family val="2"/>
          </rPr>
          <t xml:space="preserve"> Sijoita oikealle kuukaudelle!</t>
        </r>
      </text>
    </comment>
    <comment ref="L49" authorId="0" shapeId="0" xr:uid="{7361C245-9B47-43BE-B010-080F1D52D60E}">
      <text>
        <r>
          <rPr>
            <b/>
            <sz val="9"/>
            <color indexed="81"/>
            <rFont val="Tahoma"/>
            <family val="2"/>
          </rPr>
          <t>Laaksonen Aki:</t>
        </r>
        <r>
          <rPr>
            <sz val="9"/>
            <color indexed="81"/>
            <rFont val="Tahoma"/>
            <family val="2"/>
          </rPr>
          <t xml:space="preserve">
</t>
        </r>
        <r>
          <rPr>
            <b/>
            <u/>
            <sz val="9"/>
            <color indexed="81"/>
            <rFont val="Tahoma"/>
            <family val="2"/>
          </rPr>
          <t>Lainojen lyhennykset:</t>
        </r>
        <r>
          <rPr>
            <sz val="9"/>
            <color indexed="81"/>
            <rFont val="Tahoma"/>
            <family val="2"/>
          </rPr>
          <t xml:space="preserve">
Ohjelma arvioi lainanlyhennykset 6 kk välein 2 kertaa vuodessa.
Muuta toteutuvan mukaiseksi.
Lisää lyhytaikaisten velkojen ja muiden ilman velkakirjaa olevien lainojen lyhennykset.</t>
        </r>
      </text>
    </comment>
    <comment ref="R49" authorId="0" shapeId="0" xr:uid="{5E0DC262-CB9E-4F94-9E9A-0AC47BE844E2}">
      <text>
        <r>
          <rPr>
            <b/>
            <sz val="9"/>
            <color indexed="81"/>
            <rFont val="Tahoma"/>
            <family val="2"/>
          </rPr>
          <t>Laaksonen Aki:</t>
        </r>
        <r>
          <rPr>
            <sz val="9"/>
            <color indexed="81"/>
            <rFont val="Tahoma"/>
            <family val="2"/>
          </rPr>
          <t xml:space="preserve">
</t>
        </r>
        <r>
          <rPr>
            <b/>
            <u/>
            <sz val="9"/>
            <color indexed="81"/>
            <rFont val="Tahoma"/>
            <family val="2"/>
          </rPr>
          <t>Lainojen lyhennykset:</t>
        </r>
        <r>
          <rPr>
            <sz val="9"/>
            <color indexed="81"/>
            <rFont val="Tahoma"/>
            <family val="2"/>
          </rPr>
          <t xml:space="preserve">
Ohjelma arvioi lainanlyhennykset 6 kk välein 2 kertaa vuodessa.
Muuta toteutuvan mukaiseksi.
Lisää lyhytaikaisten velkojen ja muiden ilman velkakirjaa olevien lainojen lyhennykset.</t>
        </r>
      </text>
    </comment>
    <comment ref="G50" authorId="0" shapeId="0" xr:uid="{3E673400-56B3-40DF-AF42-2666BFAAFEC0}">
      <text>
        <r>
          <rPr>
            <b/>
            <sz val="9"/>
            <color indexed="81"/>
            <rFont val="Tahoma"/>
            <family val="2"/>
          </rPr>
          <t>Laaksonen Aki:</t>
        </r>
        <r>
          <rPr>
            <sz val="9"/>
            <color indexed="81"/>
            <rFont val="Tahoma"/>
            <family val="2"/>
          </rPr>
          <t xml:space="preserve">
</t>
        </r>
        <r>
          <rPr>
            <b/>
            <u/>
            <sz val="9"/>
            <color indexed="81"/>
            <rFont val="Tahoma"/>
            <family val="2"/>
          </rPr>
          <t>Osingot, yksityiskäyttö:</t>
        </r>
        <r>
          <rPr>
            <sz val="9"/>
            <color indexed="81"/>
            <rFont val="Tahoma"/>
            <family val="2"/>
          </rPr>
          <t xml:space="preserve">
Lisää osingonmaksut / yksityisotot.</t>
        </r>
      </text>
    </comment>
    <comment ref="G51" authorId="0" shapeId="0" xr:uid="{DA42919D-F254-4511-BBCA-F5AEE60F533E}">
      <text>
        <r>
          <rPr>
            <b/>
            <sz val="9"/>
            <color indexed="81"/>
            <rFont val="Tahoma"/>
            <family val="2"/>
          </rPr>
          <t>Laaksonen Aki:</t>
        </r>
        <r>
          <rPr>
            <sz val="9"/>
            <color indexed="81"/>
            <rFont val="Tahoma"/>
            <family val="2"/>
          </rPr>
          <t xml:space="preserve">
</t>
        </r>
        <r>
          <rPr>
            <b/>
            <u/>
            <sz val="9"/>
            <color indexed="81"/>
            <rFont val="Tahoma"/>
            <family val="2"/>
          </rPr>
          <t>Omistajien lisäsijoitukset:</t>
        </r>
        <r>
          <rPr>
            <sz val="9"/>
            <color indexed="81"/>
            <rFont val="Tahoma"/>
            <family val="2"/>
          </rPr>
          <t xml:space="preserve">
Omistajien sijoitukset yritykseen ensimmäisen ennustevuoden jälkeen taulukosta 1 INVESTOINTISUUNNITELMA.
Sijoita oikealle kuukaudelle.
</t>
        </r>
      </text>
    </comment>
    <comment ref="G52" authorId="0" shapeId="0" xr:uid="{246A7295-6BE9-4F9C-85D3-7DF17862D831}">
      <text>
        <r>
          <rPr>
            <b/>
            <sz val="9"/>
            <color indexed="81"/>
            <rFont val="Tahoma"/>
            <family val="2"/>
          </rPr>
          <t>Laaksonen Aki:</t>
        </r>
        <r>
          <rPr>
            <sz val="9"/>
            <color indexed="81"/>
            <rFont val="Tahoma"/>
            <family val="2"/>
          </rPr>
          <t xml:space="preserve">
</t>
        </r>
        <r>
          <rPr>
            <b/>
            <u/>
            <sz val="9"/>
            <color indexed="81"/>
            <rFont val="Tahoma"/>
            <family val="2"/>
          </rPr>
          <t>Muu pääomarahoitus:</t>
        </r>
        <r>
          <rPr>
            <sz val="9"/>
            <color indexed="81"/>
            <rFont val="Tahoma"/>
            <family val="2"/>
          </rPr>
          <t xml:space="preserve">
Omistajien antamat pääomalainat taulukosta 1 INVESTOINTISUUNNITELMA kohdasta 13.
Sijoita oikealle kuukaudelle.
</t>
        </r>
      </text>
    </comment>
    <comment ref="R56" authorId="0" shapeId="0" xr:uid="{EC18F36E-8248-4009-8435-64335C9A7C79}">
      <text>
        <r>
          <rPr>
            <b/>
            <sz val="9"/>
            <color indexed="81"/>
            <rFont val="Tahoma"/>
            <family val="2"/>
          </rPr>
          <t>Laaksonen Aki:</t>
        </r>
        <r>
          <rPr>
            <sz val="9"/>
            <color indexed="81"/>
            <rFont val="Tahoma"/>
            <family val="2"/>
          </rPr>
          <t xml:space="preserve">
</t>
        </r>
        <r>
          <rPr>
            <b/>
            <u/>
            <sz val="9"/>
            <color indexed="81"/>
            <rFont val="Tahoma"/>
            <family val="2"/>
          </rPr>
          <t>Kumulatiivinen kassa kuukauden lopussa:</t>
        </r>
        <r>
          <rPr>
            <sz val="9"/>
            <color indexed="81"/>
            <rFont val="Tahoma"/>
            <family val="2"/>
          </rPr>
          <t xml:space="preserve">
Suunnittelukauden viimeisen kuukauden kassavarat.</t>
        </r>
      </text>
    </comment>
    <comment ref="G65" authorId="0" shapeId="0" xr:uid="{BD8D9917-66E7-48DB-9DA4-E344B4EFE498}">
      <text>
        <r>
          <rPr>
            <b/>
            <sz val="9"/>
            <color indexed="81"/>
            <rFont val="Tahoma"/>
            <family val="2"/>
          </rPr>
          <t>Laaksonen Aki:</t>
        </r>
        <r>
          <rPr>
            <sz val="9"/>
            <color indexed="81"/>
            <rFont val="Tahoma"/>
            <family val="2"/>
          </rPr>
          <t xml:space="preserve">
</t>
        </r>
        <r>
          <rPr>
            <b/>
            <u/>
            <sz val="9"/>
            <color indexed="81"/>
            <rFont val="Tahoma"/>
            <family val="2"/>
          </rPr>
          <t>Tilikauden aloituskuukausi:</t>
        </r>
        <r>
          <rPr>
            <sz val="9"/>
            <color indexed="81"/>
            <rFont val="Tahoma"/>
            <family val="2"/>
          </rPr>
          <t xml:space="preserve">
Kirjoita tilikauden aloituskuukausi muotoon kk/vvvv.
Esim. 06/202X</t>
        </r>
      </text>
    </comment>
    <comment ref="G66" authorId="0" shapeId="0" xr:uid="{2E5A1918-FED7-461E-9D99-12E05F23A03D}">
      <text>
        <r>
          <rPr>
            <b/>
            <sz val="9"/>
            <color indexed="81"/>
            <rFont val="Tahoma"/>
            <family val="2"/>
          </rPr>
          <t>Laaksonen Aki:</t>
        </r>
        <r>
          <rPr>
            <sz val="9"/>
            <color indexed="81"/>
            <rFont val="Tahoma"/>
            <family val="2"/>
          </rPr>
          <t xml:space="preserve">
</t>
        </r>
        <r>
          <rPr>
            <b/>
            <u/>
            <sz val="9"/>
            <color indexed="81"/>
            <rFont val="Tahoma"/>
            <family val="2"/>
          </rPr>
          <t>Alkusaldo:</t>
        </r>
        <r>
          <rPr>
            <sz val="9"/>
            <color indexed="81"/>
            <rFont val="Tahoma"/>
            <family val="2"/>
          </rPr>
          <t xml:space="preserve">
Toimiva yritys: rahavarat viimeisessä tilinpäätöksessä</t>
        </r>
      </text>
    </comment>
    <comment ref="G67" authorId="0" shapeId="0" xr:uid="{AF642859-E599-46AE-9BE8-8C7F1BD03E6A}">
      <text>
        <r>
          <rPr>
            <b/>
            <sz val="9"/>
            <color indexed="81"/>
            <rFont val="Tahoma"/>
            <family val="2"/>
          </rPr>
          <t>Laaksonen Aki:</t>
        </r>
        <r>
          <rPr>
            <sz val="9"/>
            <color indexed="81"/>
            <rFont val="Tahoma"/>
            <family val="2"/>
          </rPr>
          <t xml:space="preserve">
</t>
        </r>
        <r>
          <rPr>
            <b/>
            <u/>
            <sz val="9"/>
            <color indexed="81"/>
            <rFont val="Tahoma"/>
            <family val="2"/>
          </rPr>
          <t>Myyntisaamiset edelliseltä tilikaudelta:</t>
        </r>
        <r>
          <rPr>
            <sz val="9"/>
            <color indexed="81"/>
            <rFont val="Tahoma"/>
            <family val="2"/>
          </rPr>
          <t xml:space="preserve">
Summa lasketaan toteutuneen myyntisaamisten kiertoajan mukaan taulukosta 3 TASE solusta H49 tai I49.</t>
        </r>
      </text>
    </comment>
    <comment ref="E68" authorId="0" shapeId="0" xr:uid="{C369F79F-9A5A-4073-99B0-6AC7AC52A42F}">
      <text>
        <r>
          <rPr>
            <b/>
            <sz val="9"/>
            <color indexed="81"/>
            <rFont val="Tahoma"/>
            <family val="2"/>
          </rPr>
          <t>Laaksonen Aki:</t>
        </r>
        <r>
          <rPr>
            <sz val="9"/>
            <color indexed="81"/>
            <rFont val="Tahoma"/>
            <family val="2"/>
          </rPr>
          <t xml:space="preserve">
</t>
        </r>
        <r>
          <rPr>
            <b/>
            <u/>
            <sz val="9"/>
            <color indexed="81"/>
            <rFont val="Tahoma"/>
            <family val="2"/>
          </rPr>
          <t>Käteismyynti (%-osuus):</t>
        </r>
        <r>
          <rPr>
            <sz val="9"/>
            <color indexed="81"/>
            <rFont val="Tahoma"/>
            <family val="2"/>
          </rPr>
          <t xml:space="preserve">
Merkitse tähän käteismyynnin prosenttiosuus kokonaismyynnistä.
Ennakkomaksut merkitään käteismyynniksi. (kts. 8 RAHOITUSSUUNNITELMA solu G51.)</t>
        </r>
      </text>
    </comment>
    <comment ref="F68" authorId="0" shapeId="0" xr:uid="{1E7CFF14-9749-4A71-81E8-2E88CFFEA0FF}">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68" authorId="0" shapeId="0" xr:uid="{172A9D14-C876-40FE-BDA5-C1611272DD42}">
      <text>
        <r>
          <rPr>
            <b/>
            <sz val="9"/>
            <color indexed="81"/>
            <rFont val="Tahoma"/>
            <family val="2"/>
          </rPr>
          <t>Laaksonen Aki:</t>
        </r>
        <r>
          <rPr>
            <sz val="9"/>
            <color indexed="81"/>
            <rFont val="Tahoma"/>
            <family val="2"/>
          </rPr>
          <t xml:space="preserve">
</t>
        </r>
        <r>
          <rPr>
            <b/>
            <u/>
            <sz val="9"/>
            <color indexed="81"/>
            <rFont val="Tahoma"/>
            <family val="2"/>
          </rPr>
          <t>Käteismyynti:</t>
        </r>
        <r>
          <rPr>
            <sz val="9"/>
            <color indexed="81"/>
            <rFont val="Tahoma"/>
            <family val="2"/>
          </rPr>
          <t xml:space="preserve">
Laskentamalli laskee käteismyynnin osuuden annetun prosenttijakauman mukaan kuukausieriksi.</t>
        </r>
      </text>
    </comment>
    <comment ref="S68" authorId="0" shapeId="0" xr:uid="{9ACAAFA3-0EF6-4CE0-AEA7-AF4018903E55}">
      <text>
        <r>
          <rPr>
            <b/>
            <sz val="9"/>
            <color indexed="81"/>
            <rFont val="Tahoma"/>
            <family val="2"/>
          </rPr>
          <t>Laaksonen Aki:</t>
        </r>
        <r>
          <rPr>
            <sz val="9"/>
            <color indexed="81"/>
            <rFont val="Tahoma"/>
            <family val="2"/>
          </rPr>
          <t xml:space="preserve">
</t>
        </r>
        <r>
          <rPr>
            <b/>
            <u/>
            <sz val="9"/>
            <color indexed="81"/>
            <rFont val="Tahoma"/>
            <family val="2"/>
          </rPr>
          <t>Käteismyynti:</t>
        </r>
        <r>
          <rPr>
            <sz val="9"/>
            <color indexed="81"/>
            <rFont val="Tahoma"/>
            <family val="2"/>
          </rPr>
          <t xml:space="preserve">
6 LIIKEVAIHTO vuosiennusteen mukaan laskettu käteismyynti.</t>
        </r>
      </text>
    </comment>
    <comment ref="G69" authorId="0" shapeId="0" xr:uid="{CC4A69F2-EF1B-4A8A-993E-AE73DD7DE325}">
      <text>
        <r>
          <rPr>
            <b/>
            <sz val="9"/>
            <color indexed="81"/>
            <rFont val="Tahoma"/>
            <family val="2"/>
          </rPr>
          <t>Laaksonen Aki:</t>
        </r>
        <r>
          <rPr>
            <sz val="9"/>
            <color indexed="81"/>
            <rFont val="Tahoma"/>
            <family val="2"/>
          </rPr>
          <t xml:space="preserve">
</t>
        </r>
        <r>
          <rPr>
            <b/>
            <u/>
            <sz val="9"/>
            <color indexed="81"/>
            <rFont val="Tahoma"/>
            <family val="2"/>
          </rPr>
          <t>Käteismyynnin kuukausijakauma (%):</t>
        </r>
        <r>
          <rPr>
            <sz val="9"/>
            <color indexed="81"/>
            <rFont val="Tahoma"/>
            <family val="2"/>
          </rPr>
          <t xml:space="preserve">
Luku tarkoittaa kuukauden myynnin prosenttiosuutta koko vuoden myynnistä.
Kuukausivaihtelut ovat yrityskohtaisia, huomioi myyntiin vaikuttavat tekijät mm. sesongit, lomat, huollot jne.
Koko vuosi on 100 %.
Jos myynti on yhtä suuri joka kuukausi, on luku 8,30 %.</t>
        </r>
      </text>
    </comment>
    <comment ref="F70" authorId="0" shapeId="0" xr:uid="{FB0DC788-A88D-4392-AB1C-2ECEF1AAC03F}">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70" authorId="0" shapeId="0" xr:uid="{BCECB3A8-AA51-4A4F-A460-AD1DFCDC35C8}">
      <text>
        <r>
          <rPr>
            <b/>
            <sz val="9"/>
            <color indexed="81"/>
            <rFont val="Tahoma"/>
            <family val="2"/>
          </rPr>
          <t>Laaksonen Aki:</t>
        </r>
        <r>
          <rPr>
            <sz val="9"/>
            <color indexed="81"/>
            <rFont val="Tahoma"/>
            <family val="2"/>
          </rPr>
          <t xml:space="preserve">
</t>
        </r>
        <r>
          <rPr>
            <b/>
            <u/>
            <sz val="9"/>
            <color indexed="81"/>
            <rFont val="Tahoma"/>
            <family val="2"/>
          </rPr>
          <t>Laskutusmyynti:</t>
        </r>
        <r>
          <rPr>
            <sz val="9"/>
            <color indexed="81"/>
            <rFont val="Tahoma"/>
            <family val="2"/>
          </rPr>
          <t xml:space="preserve">
Laskentamalli laskee laskutusmyynnin osuuden annetun prosenttijakauman mukaan kuukausieriksi.</t>
        </r>
      </text>
    </comment>
    <comment ref="S70" authorId="0" shapeId="0" xr:uid="{E00771CD-C248-4364-B29F-04EAA1694E4F}">
      <text>
        <r>
          <rPr>
            <b/>
            <sz val="9"/>
            <color indexed="81"/>
            <rFont val="Tahoma"/>
            <family val="2"/>
          </rPr>
          <t>Laaksonen Aki:</t>
        </r>
        <r>
          <rPr>
            <sz val="9"/>
            <color indexed="81"/>
            <rFont val="Tahoma"/>
            <family val="2"/>
          </rPr>
          <t xml:space="preserve">
</t>
        </r>
        <r>
          <rPr>
            <b/>
            <u/>
            <sz val="9"/>
            <color indexed="81"/>
            <rFont val="Tahoma"/>
            <family val="2"/>
          </rPr>
          <t>Laskutusmyynti:</t>
        </r>
        <r>
          <rPr>
            <sz val="9"/>
            <color indexed="81"/>
            <rFont val="Tahoma"/>
            <family val="2"/>
          </rPr>
          <t xml:space="preserve">
6 LIIKEVAIHTO vuosiennusteen mukaan laskettu laskutusmyynti.</t>
        </r>
      </text>
    </comment>
    <comment ref="G71" authorId="0" shapeId="0" xr:uid="{69A4C1A0-6EAD-4807-B0EB-9F04FA521131}">
      <text>
        <r>
          <rPr>
            <b/>
            <sz val="9"/>
            <color indexed="81"/>
            <rFont val="Tahoma"/>
            <family val="2"/>
          </rPr>
          <t>Laaksonen Aki:</t>
        </r>
        <r>
          <rPr>
            <sz val="9"/>
            <color indexed="81"/>
            <rFont val="Tahoma"/>
            <family val="2"/>
          </rPr>
          <t xml:space="preserve">
</t>
        </r>
        <r>
          <rPr>
            <b/>
            <u/>
            <sz val="9"/>
            <color indexed="81"/>
            <rFont val="Tahoma"/>
            <family val="2"/>
          </rPr>
          <t>Käteismyynnin kuukausijakauma (%):</t>
        </r>
        <r>
          <rPr>
            <sz val="9"/>
            <color indexed="81"/>
            <rFont val="Tahoma"/>
            <family val="2"/>
          </rPr>
          <t xml:space="preserve">
Luku tarkoittaa kuukauden myynnin prosenttiosuutta koko vuoden myynnistä.
Kuukausivaihtelut ovat yrityskohtaisia, huomioi myyntiin vaikuttavat tekijät mm. sesongit, lomat, huollot jne.
Koko vuosi on 100 %.
Jos myynti on yhtä suuri joka kuukausi, on luku 8,30 %.</t>
        </r>
      </text>
    </comment>
    <comment ref="E72" authorId="0" shapeId="0" xr:uid="{D4C4CAF6-E161-4D52-ABFF-35DF4088E897}">
      <text>
        <r>
          <rPr>
            <b/>
            <sz val="9"/>
            <color indexed="81"/>
            <rFont val="Tahoma"/>
            <family val="2"/>
          </rPr>
          <t>Laaksonen Aki:</t>
        </r>
        <r>
          <rPr>
            <sz val="9"/>
            <color indexed="81"/>
            <rFont val="Tahoma"/>
            <family val="2"/>
          </rPr>
          <t xml:space="preserve">
</t>
        </r>
        <r>
          <rPr>
            <b/>
            <u/>
            <sz val="9"/>
            <color indexed="81"/>
            <rFont val="Tahoma"/>
            <family val="2"/>
          </rPr>
          <t>Asiakkaiden keskimääräinen maksuaika (päivää):</t>
        </r>
        <r>
          <rPr>
            <sz val="9"/>
            <color indexed="81"/>
            <rFont val="Tahoma"/>
            <family val="2"/>
          </rPr>
          <t xml:space="preserve">
Asiakkaiden keskimääräinen maksuaika päivissä. Pisin maksuaika on 180 päivää.
Laskennallinen luku löytyy 8 RAHOITUSSUUNNITELMA --&gt; Myyntisaamiset --&gt; Myyntisaamisten kiertonopeus.</t>
        </r>
      </text>
    </comment>
    <comment ref="G72" authorId="0" shapeId="0" xr:uid="{EF676D17-CA1E-4828-AF60-1780C04826AD}">
      <text>
        <r>
          <rPr>
            <b/>
            <sz val="9"/>
            <color indexed="81"/>
            <rFont val="Tahoma"/>
            <family val="2"/>
          </rPr>
          <t>Laaksonen Aki:</t>
        </r>
        <r>
          <rPr>
            <sz val="9"/>
            <color indexed="81"/>
            <rFont val="Tahoma"/>
            <family val="2"/>
          </rPr>
          <t xml:space="preserve">
</t>
        </r>
        <r>
          <rPr>
            <b/>
            <u/>
            <sz val="9"/>
            <color indexed="81"/>
            <rFont val="Tahoma"/>
            <family val="2"/>
          </rPr>
          <t>Laskutusmyynti:</t>
        </r>
        <r>
          <rPr>
            <sz val="9"/>
            <color indexed="81"/>
            <rFont val="Tahoma"/>
            <family val="2"/>
          </rPr>
          <t xml:space="preserve">
Laskentamalli laskee laskutusmyynnistä saatavat kuukausitulot maksuehdon perusteella (esim. 14 päivää).</t>
        </r>
      </text>
    </comment>
    <comment ref="F73" authorId="0" shapeId="0" xr:uid="{070CA9C3-B289-4D1E-ACF0-58C542C699E8}">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73" authorId="0" shapeId="0" xr:uid="{021696BF-DD23-441D-BA3A-1AC2954C68B9}">
      <text>
        <r>
          <rPr>
            <b/>
            <sz val="9"/>
            <color indexed="81"/>
            <rFont val="Tahoma"/>
            <family val="2"/>
          </rPr>
          <t>Laaksonen Aki:</t>
        </r>
        <r>
          <rPr>
            <sz val="9"/>
            <color indexed="81"/>
            <rFont val="Tahoma"/>
            <family val="2"/>
          </rPr>
          <t xml:space="preserve">
</t>
        </r>
        <r>
          <rPr>
            <b/>
            <u/>
            <sz val="9"/>
            <color indexed="81"/>
            <rFont val="Tahoma"/>
            <family val="2"/>
          </rPr>
          <t>Muut tuotot sis. alv:</t>
        </r>
        <r>
          <rPr>
            <sz val="9"/>
            <color indexed="81"/>
            <rFont val="Tahoma"/>
            <family val="2"/>
          </rPr>
          <t xml:space="preserve">
Muita alv-tuottoja ovat (</t>
        </r>
        <r>
          <rPr>
            <b/>
            <sz val="9"/>
            <color indexed="81"/>
            <rFont val="Tahoma"/>
            <family val="2"/>
          </rPr>
          <t>laskettu tasaerinä kuukausille, korjaa tarvittaessa</t>
        </r>
        <r>
          <rPr>
            <sz val="9"/>
            <color indexed="81"/>
            <rFont val="Tahoma"/>
            <family val="2"/>
          </rPr>
          <t xml:space="preserve">)
- Liiketoiminnan muut tuotot (myös alv 0 % tuotot, huomioi alv-prosentti)
</t>
        </r>
        <r>
          <rPr>
            <b/>
            <sz val="9"/>
            <color indexed="81"/>
            <rFont val="Tahoma"/>
            <family val="2"/>
          </rPr>
          <t>Lisää</t>
        </r>
        <r>
          <rPr>
            <sz val="9"/>
            <color indexed="81"/>
            <rFont val="Tahoma"/>
            <family val="2"/>
          </rPr>
          <t xml:space="preserve">
- Esim. saneerauksen yhteydessä myydyt koneet, valmistusoikeudet yms.</t>
        </r>
      </text>
    </comment>
    <comment ref="G74" authorId="0" shapeId="0" xr:uid="{D74E390F-400D-4924-AE01-CFAD2C3F88D5}">
      <text>
        <r>
          <rPr>
            <b/>
            <sz val="9"/>
            <color indexed="81"/>
            <rFont val="Tahoma"/>
            <family val="2"/>
          </rPr>
          <t>Laaksonen Aki:</t>
        </r>
        <r>
          <rPr>
            <sz val="9"/>
            <color indexed="81"/>
            <rFont val="Tahoma"/>
            <family val="2"/>
          </rPr>
          <t xml:space="preserve">
</t>
        </r>
        <r>
          <rPr>
            <b/>
            <u/>
            <sz val="9"/>
            <color indexed="81"/>
            <rFont val="Tahoma"/>
            <family val="2"/>
          </rPr>
          <t>Muut tuotot alv 0 %:</t>
        </r>
        <r>
          <rPr>
            <sz val="9"/>
            <color indexed="81"/>
            <rFont val="Tahoma"/>
            <family val="2"/>
          </rPr>
          <t xml:space="preserve">
- Taulukosta 5 KUSTANNUKSET solun I30 Vakuutuskorvaukset kuukausierinä.
- Yritystukien tuloutus, lisätty 7. kuukaudelle. Muuta tarvittaessa.</t>
        </r>
      </text>
    </comment>
    <comment ref="M74" authorId="0" shapeId="0" xr:uid="{3848ECA1-1E3D-43F2-A9BE-A12A0F010B50}">
      <text>
        <r>
          <rPr>
            <b/>
            <sz val="9"/>
            <color indexed="81"/>
            <rFont val="Tahoma"/>
            <family val="2"/>
          </rPr>
          <t>Laaksonen Aki:</t>
        </r>
        <r>
          <rPr>
            <sz val="9"/>
            <color indexed="81"/>
            <rFont val="Tahoma"/>
            <family val="2"/>
          </rPr>
          <t xml:space="preserve">
</t>
        </r>
        <r>
          <rPr>
            <b/>
            <u/>
            <sz val="9"/>
            <color indexed="81"/>
            <rFont val="Tahoma"/>
            <family val="2"/>
          </rPr>
          <t>Muut tuotot alv 0 % (yritystuet, vakuutuskorvaukset yms.)</t>
        </r>
        <r>
          <rPr>
            <sz val="9"/>
            <color indexed="81"/>
            <rFont val="Tahoma"/>
            <family val="2"/>
          </rPr>
          <t xml:space="preserve">
Laskentamalli lisää ELY-keskuksen avustuksen tuloutuvan 7. kuukautena.
Vaihda summa tarvittaessa eri kuukaudelle.</t>
        </r>
      </text>
    </comment>
    <comment ref="F78" authorId="0" shapeId="0" xr:uid="{3334F3EA-6D2B-4BD4-9C2E-03F742FBC2D7}">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78" authorId="0" shapeId="0" xr:uid="{47172209-FFF6-4EF5-8A3B-26A712E36A1B}">
      <text>
        <r>
          <rPr>
            <b/>
            <sz val="9"/>
            <color indexed="81"/>
            <rFont val="Tahoma"/>
            <family val="2"/>
          </rPr>
          <t>Laaksonen Aki:</t>
        </r>
        <r>
          <rPr>
            <sz val="9"/>
            <color indexed="81"/>
            <rFont val="Tahoma"/>
            <family val="2"/>
          </rPr>
          <t xml:space="preserve">
</t>
        </r>
        <r>
          <rPr>
            <b/>
            <u/>
            <sz val="9"/>
            <color indexed="81"/>
            <rFont val="Tahoma"/>
            <family val="2"/>
          </rPr>
          <t>Aineet ja tarvikkeet:</t>
        </r>
        <r>
          <rPr>
            <sz val="9"/>
            <color indexed="81"/>
            <rFont val="Tahoma"/>
            <family val="2"/>
          </rPr>
          <t xml:space="preserve">
Laskentamalli laskee myynnin mukaan tarvittavat aine- ja tarvikehankinnat.
Kuinka suurina erinä ostetaan ja mille kuukausille laskut saapuvat?
Muuta taulukkoon tarvittaessa.</t>
        </r>
      </text>
    </comment>
    <comment ref="T78" authorId="0" shapeId="0" xr:uid="{DBF55D41-4D2D-4B5A-A6B6-0607777A7A49}">
      <text>
        <r>
          <rPr>
            <b/>
            <sz val="9"/>
            <color indexed="81"/>
            <rFont val="Tahoma"/>
            <family val="2"/>
          </rPr>
          <t>Laaksonen Aki:</t>
        </r>
        <r>
          <rPr>
            <sz val="9"/>
            <color indexed="81"/>
            <rFont val="Tahoma"/>
            <family val="2"/>
          </rPr>
          <t xml:space="preserve">
</t>
        </r>
        <r>
          <rPr>
            <b/>
            <u/>
            <sz val="9"/>
            <color indexed="81"/>
            <rFont val="Tahoma"/>
            <family val="2"/>
          </rPr>
          <t>Erotus:</t>
        </r>
        <r>
          <rPr>
            <sz val="9"/>
            <color indexed="81"/>
            <rFont val="Tahoma"/>
            <family val="2"/>
          </rPr>
          <t xml:space="preserve">
Kassabudjetin erotus tilikauden tavoitteeseen verrattuna.</t>
        </r>
      </text>
    </comment>
    <comment ref="E79" authorId="0" shapeId="0" xr:uid="{642FA084-9D2E-44B4-A771-77B7BE96F807}">
      <text>
        <r>
          <rPr>
            <b/>
            <sz val="9"/>
            <color indexed="81"/>
            <rFont val="Tahoma"/>
            <family val="2"/>
          </rPr>
          <t>Laaksonen Aki:</t>
        </r>
        <r>
          <rPr>
            <sz val="9"/>
            <color indexed="81"/>
            <rFont val="Tahoma"/>
            <family val="2"/>
          </rPr>
          <t xml:space="preserve">
</t>
        </r>
        <r>
          <rPr>
            <b/>
            <u/>
            <sz val="9"/>
            <color indexed="81"/>
            <rFont val="Tahoma"/>
            <family val="2"/>
          </rPr>
          <t>Ostovelat edelliseltä tilikaudelta, maksuaika (päivää):</t>
        </r>
        <r>
          <rPr>
            <sz val="9"/>
            <color indexed="81"/>
            <rFont val="Tahoma"/>
            <family val="2"/>
          </rPr>
          <t xml:space="preserve">
Ostovelkojen kiertoaika on sama kuin 8 RAHOITUSSUUNNITELMA solussa I52.
Pisin maksuaika on 90 päivää.</t>
        </r>
      </text>
    </comment>
    <comment ref="F81" authorId="0" shapeId="0" xr:uid="{C2954AAF-0AB6-4471-810F-CF04A9239572}">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F82" authorId="0" shapeId="0" xr:uid="{0737101C-749A-4266-9C85-9B97B4D8E37F}">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G82" authorId="0" shapeId="0" xr:uid="{0EF63C73-34FA-4BDE-9ADB-6554D9E4EEBC}">
      <text>
        <r>
          <rPr>
            <b/>
            <sz val="9"/>
            <color indexed="81"/>
            <rFont val="Tahoma"/>
            <family val="2"/>
          </rPr>
          <t>Laaksonen Aki:</t>
        </r>
        <r>
          <rPr>
            <sz val="9"/>
            <color indexed="81"/>
            <rFont val="Tahoma"/>
            <family val="2"/>
          </rPr>
          <t xml:space="preserve">
</t>
        </r>
        <r>
          <rPr>
            <b/>
            <u/>
            <sz val="9"/>
            <color indexed="81"/>
            <rFont val="Tahoma"/>
            <family val="2"/>
          </rPr>
          <t>Investoinnit (sis. alv)</t>
        </r>
        <r>
          <rPr>
            <sz val="9"/>
            <color indexed="81"/>
            <rFont val="Tahoma"/>
            <family val="2"/>
          </rPr>
          <t xml:space="preserve">
Vähennä leasingrahoituksella hankittavat investoinnit.
Sijoita investoinnit oikeille kuukausille.</t>
        </r>
      </text>
    </comment>
    <comment ref="F83" authorId="0" shapeId="0" xr:uid="{A297BC07-82D6-447C-B14A-CE6E645B1DBA}">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F84" authorId="0" shapeId="0" xr:uid="{D64F8528-20EF-4291-86BA-79F57953E745}">
      <text>
        <r>
          <rPr>
            <b/>
            <sz val="9"/>
            <color indexed="81"/>
            <rFont val="Tahoma"/>
            <family val="2"/>
          </rPr>
          <t>Laaksonen Aki:</t>
        </r>
        <r>
          <rPr>
            <sz val="9"/>
            <color indexed="81"/>
            <rFont val="Tahoma"/>
            <family val="2"/>
          </rPr>
          <t xml:space="preserve">
</t>
        </r>
        <r>
          <rPr>
            <b/>
            <u/>
            <sz val="9"/>
            <color indexed="81"/>
            <rFont val="Tahoma"/>
            <family val="2"/>
          </rPr>
          <t>Arvonlisäverokanta:</t>
        </r>
        <r>
          <rPr>
            <sz val="9"/>
            <color indexed="81"/>
            <rFont val="Tahoma"/>
            <family val="2"/>
          </rPr>
          <t xml:space="preserve">
Jos useita eri alv-kantoja, aseta painotettu keskiarvo.</t>
        </r>
      </text>
    </comment>
    <comment ref="F85" authorId="0" shapeId="0" xr:uid="{59666E44-D180-4B11-83F5-1AB97414DB8C}">
      <text>
        <r>
          <rPr>
            <b/>
            <sz val="9"/>
            <color indexed="81"/>
            <rFont val="Tahoma"/>
            <family val="2"/>
          </rPr>
          <t>Laaksonen Aki:</t>
        </r>
        <r>
          <rPr>
            <sz val="9"/>
            <color indexed="81"/>
            <rFont val="Tahoma"/>
            <family val="2"/>
          </rPr>
          <t xml:space="preserve">
</t>
        </r>
        <r>
          <rPr>
            <b/>
            <u/>
            <sz val="9"/>
            <color indexed="81"/>
            <rFont val="Tahoma"/>
            <family val="2"/>
          </rPr>
          <t>Muut kiinteät kulut (sis. alv):</t>
        </r>
        <r>
          <rPr>
            <sz val="9"/>
            <color indexed="81"/>
            <rFont val="Tahoma"/>
            <family val="2"/>
          </rPr>
          <t xml:space="preserve">
Laskennallinen painotettu keskiarvo.</t>
        </r>
      </text>
    </comment>
    <comment ref="D86" authorId="0" shapeId="0" xr:uid="{D0377FF1-95C4-4032-8995-2D049BCC4B62}">
      <text>
        <r>
          <rPr>
            <b/>
            <sz val="9"/>
            <color indexed="81"/>
            <rFont val="Tahoma"/>
            <family val="2"/>
          </rPr>
          <t>Laaksonen Aki:</t>
        </r>
        <r>
          <rPr>
            <sz val="9"/>
            <color indexed="81"/>
            <rFont val="Tahoma"/>
            <family val="2"/>
          </rPr>
          <t xml:space="preserve">
</t>
        </r>
        <r>
          <rPr>
            <b/>
            <u/>
            <sz val="9"/>
            <color indexed="81"/>
            <rFont val="Tahoma"/>
            <family val="2"/>
          </rPr>
          <t>Maksettava arvonlisävero:</t>
        </r>
        <r>
          <rPr>
            <sz val="9"/>
            <color indexed="81"/>
            <rFont val="Tahoma"/>
            <family val="2"/>
          </rPr>
          <t xml:space="preserve">
Arvonlisävero lasketaan viimeistä edellisen kuukauden alv-ostoista ja alv-myynneistä eli maaliskuun arvonlisäverot lasketaan tammikuun tapahtumista.</t>
        </r>
      </text>
    </comment>
    <comment ref="F89" authorId="0" shapeId="0" xr:uid="{973F2B08-779F-4913-A4B2-7C2904A88F36}">
      <text>
        <r>
          <rPr>
            <b/>
            <sz val="9"/>
            <color indexed="81"/>
            <rFont val="Tahoma"/>
            <family val="2"/>
          </rPr>
          <t>Laaksonen Aki:</t>
        </r>
        <r>
          <rPr>
            <sz val="9"/>
            <color indexed="81"/>
            <rFont val="Tahoma"/>
            <family val="2"/>
          </rPr>
          <t xml:space="preserve">
</t>
        </r>
        <r>
          <rPr>
            <b/>
            <u/>
            <sz val="9"/>
            <color indexed="81"/>
            <rFont val="Tahoma"/>
            <family val="2"/>
          </rPr>
          <t>YEL-eläkemaksut ja tapaturmavakuutusmaksu:</t>
        </r>
        <r>
          <rPr>
            <sz val="9"/>
            <color indexed="81"/>
            <rFont val="Tahoma"/>
            <family val="2"/>
          </rPr>
          <t xml:space="preserve">
</t>
        </r>
        <r>
          <rPr>
            <b/>
            <sz val="9"/>
            <color indexed="81"/>
            <rFont val="Tahoma"/>
            <family val="2"/>
          </rPr>
          <t>YEL-maksut yhteensä</t>
        </r>
        <r>
          <rPr>
            <sz val="9"/>
            <color indexed="81"/>
            <rFont val="Tahoma"/>
            <family val="2"/>
          </rPr>
          <t xml:space="preserve"> sisältäen yrittäjän ammattitauti- ja tapaturmavakuutusmaksun.
</t>
        </r>
        <r>
          <rPr>
            <b/>
            <sz val="9"/>
            <color indexed="81"/>
            <rFont val="Tahoma"/>
            <family val="2"/>
          </rPr>
          <t>Vuonna 2026:</t>
        </r>
        <r>
          <rPr>
            <sz val="9"/>
            <color indexed="81"/>
            <rFont val="Tahoma"/>
            <family val="2"/>
          </rPr>
          <t xml:space="preserve">
YEL-vakuutusmaksu 24,4 %
</t>
        </r>
        <r>
          <rPr>
            <b/>
            <sz val="9"/>
            <color indexed="81"/>
            <rFont val="Tahoma"/>
            <family val="2"/>
          </rPr>
          <t>Uusi yrittäjä</t>
        </r>
        <r>
          <rPr>
            <sz val="9"/>
            <color indexed="81"/>
            <rFont val="Tahoma"/>
            <family val="2"/>
          </rPr>
          <t xml:space="preserve">
Uudelle yrittäjälle 4 ensimmäistä vuotta alennettuja YEL-vakuutusmaksu 19,03 %
Yrittäjän vapaaehtoinen tapaturmavakuutusmaksu noin 1,7 %
</t>
        </r>
        <r>
          <rPr>
            <b/>
            <sz val="9"/>
            <color indexed="81"/>
            <rFont val="Tahoma"/>
            <family val="2"/>
          </rPr>
          <t xml:space="preserve">
Yhteensä YEL ja tapaturmavakuutusmaksu</t>
        </r>
        <r>
          <rPr>
            <sz val="9"/>
            <color indexed="81"/>
            <rFont val="Tahoma"/>
            <family val="2"/>
          </rPr>
          <t xml:space="preserve">
- 26,1 %
- uusi yrittäjä 20,73 %</t>
        </r>
      </text>
    </comment>
    <comment ref="F90" authorId="0" shapeId="0" xr:uid="{B7B11505-D8BD-423B-A096-1DD505AF4402}">
      <text>
        <r>
          <rPr>
            <b/>
            <sz val="9"/>
            <color indexed="81"/>
            <rFont val="Tahoma"/>
            <family val="2"/>
          </rPr>
          <t>Laaksonen Aki:</t>
        </r>
        <r>
          <rPr>
            <sz val="9"/>
            <color indexed="81"/>
            <rFont val="Tahoma"/>
            <family val="2"/>
          </rPr>
          <t xml:space="preserve">
</t>
        </r>
        <r>
          <rPr>
            <b/>
            <u/>
            <sz val="9"/>
            <color indexed="81"/>
            <rFont val="Tahoma"/>
            <family val="2"/>
          </rPr>
          <t xml:space="preserve">TyEL-maksut, pakolliset työntekijävakuutusmaksut:
</t>
        </r>
        <r>
          <rPr>
            <sz val="9"/>
            <color indexed="81"/>
            <rFont val="Tahoma"/>
            <family val="2"/>
          </rPr>
          <t xml:space="preserve">
</t>
        </r>
        <r>
          <rPr>
            <b/>
            <sz val="9"/>
            <color indexed="81"/>
            <rFont val="Tahoma"/>
            <family val="2"/>
          </rPr>
          <t>Vuosi 2026</t>
        </r>
        <r>
          <rPr>
            <sz val="9"/>
            <color indexed="81"/>
            <rFont val="Tahoma"/>
            <family val="2"/>
          </rPr>
          <t xml:space="preserve">
</t>
        </r>
        <r>
          <rPr>
            <b/>
            <u/>
            <sz val="9"/>
            <color indexed="81"/>
            <rFont val="Tahoma"/>
            <family val="2"/>
          </rPr>
          <t>Yritys maksaa keskimäärin:</t>
        </r>
        <r>
          <rPr>
            <sz val="9"/>
            <color indexed="81"/>
            <rFont val="Tahoma"/>
            <family val="2"/>
          </rPr>
          <t xml:space="preserve">
- TyEL-maksua keskimäärin 17,1 % + tilittää työntekijän osuuden keskimäärin 7,3 %.
- Tapaturmavakuutusta keskimäärin 0,51 % (tapaturma-alttiilla aloilla suurempi)
- Ryhmähenkivakuutusta 0,06 %
- Työttömyysvakuutusta 0,31 % (palkkasumma alle 2 455 500 euroa)
</t>
        </r>
        <r>
          <rPr>
            <b/>
            <sz val="9"/>
            <color indexed="81"/>
            <rFont val="Tahoma"/>
            <family val="2"/>
          </rPr>
          <t xml:space="preserve">
Yhteensä noin 25,28 %. (Korota tapaturma-alttiilla aloilla.)</t>
        </r>
        <r>
          <rPr>
            <sz val="9"/>
            <color indexed="81"/>
            <rFont val="Tahoma"/>
            <family val="2"/>
          </rPr>
          <t xml:space="preserve">
</t>
        </r>
      </text>
    </comment>
    <comment ref="T91" authorId="0" shapeId="0" xr:uid="{AF74A78E-5344-4529-94CB-06E1F38B4F89}">
      <text>
        <r>
          <rPr>
            <b/>
            <sz val="9"/>
            <color indexed="81"/>
            <rFont val="Tahoma"/>
            <family val="2"/>
          </rPr>
          <t>Laaksonen Aki:</t>
        </r>
        <r>
          <rPr>
            <sz val="9"/>
            <color indexed="81"/>
            <rFont val="Tahoma"/>
            <family val="2"/>
          </rPr>
          <t xml:space="preserve">
</t>
        </r>
        <r>
          <rPr>
            <b/>
            <u/>
            <sz val="9"/>
            <color indexed="81"/>
            <rFont val="Tahoma"/>
            <family val="2"/>
          </rPr>
          <t>Erotus:</t>
        </r>
        <r>
          <rPr>
            <sz val="9"/>
            <color indexed="81"/>
            <rFont val="Tahoma"/>
            <family val="2"/>
          </rPr>
          <t xml:space="preserve">
Kassabudjetin erotus tilikauden tavoitteeseen verrattuna.</t>
        </r>
      </text>
    </comment>
    <comment ref="D94" authorId="0" shapeId="0" xr:uid="{5AA33209-5835-4CC1-A583-82E96A659764}">
      <text>
        <r>
          <rPr>
            <b/>
            <sz val="9"/>
            <color indexed="81"/>
            <rFont val="Tahoma"/>
            <family val="2"/>
          </rPr>
          <t>Laaksonen Aki:</t>
        </r>
        <r>
          <rPr>
            <sz val="9"/>
            <color indexed="81"/>
            <rFont val="Tahoma"/>
            <family val="2"/>
          </rPr>
          <t xml:space="preserve">
</t>
        </r>
        <r>
          <rPr>
            <b/>
            <u/>
            <sz val="9"/>
            <color indexed="81"/>
            <rFont val="Tahoma"/>
            <family val="2"/>
          </rPr>
          <t>Rahoitusmenot (lainojen korkokustannukset):</t>
        </r>
        <r>
          <rPr>
            <sz val="9"/>
            <color indexed="81"/>
            <rFont val="Tahoma"/>
            <family val="2"/>
          </rPr>
          <t xml:space="preserve">
Ei sisällä osamaksuvelkojen korkoja, ne ovat kohdassa 26.
</t>
        </r>
      </text>
    </comment>
    <comment ref="G96" authorId="0" shapeId="0" xr:uid="{F4B9A853-5A34-45C9-B7DC-3225A441326E}">
      <text>
        <r>
          <rPr>
            <b/>
            <sz val="9"/>
            <color indexed="81"/>
            <rFont val="Tahoma"/>
            <family val="2"/>
          </rPr>
          <t>Laaksonen Aki:</t>
        </r>
        <r>
          <rPr>
            <sz val="9"/>
            <color indexed="81"/>
            <rFont val="Tahoma"/>
            <family val="2"/>
          </rPr>
          <t xml:space="preserve">
</t>
        </r>
        <r>
          <rPr>
            <b/>
            <sz val="9"/>
            <color indexed="81"/>
            <rFont val="Tahoma"/>
            <family val="2"/>
          </rPr>
          <t>Investoinnit (alv 0 %):</t>
        </r>
        <r>
          <rPr>
            <sz val="9"/>
            <color indexed="81"/>
            <rFont val="Tahoma"/>
            <family val="2"/>
          </rPr>
          <t xml:space="preserve">
Sijoita investoinnit oikeille kuukausille ja vähennä leasing-rahoituksella ostettavat investoinnit.
</t>
        </r>
        <r>
          <rPr>
            <b/>
            <sz val="9"/>
            <color indexed="81"/>
            <rFont val="Tahoma"/>
            <family val="2"/>
          </rPr>
          <t>Huomioi arvonlisävero!</t>
        </r>
        <r>
          <rPr>
            <sz val="9"/>
            <color indexed="81"/>
            <rFont val="Tahoma"/>
            <family val="2"/>
          </rPr>
          <t xml:space="preserve">
Tarkista sisältävätkö 1 INVESTOINTISUUNNITELMA kohta 7. Aineettomat hyödykkeet arvonlisäveroa. Jos sisältää, siirrä nämä investoinnit kassabudjetin kohtaan 8. Investoinnit (sis. alv).
</t>
        </r>
      </text>
    </comment>
    <comment ref="T103" authorId="0" shapeId="0" xr:uid="{3E560F48-7318-4E4D-99B6-035D524B5744}">
      <text>
        <r>
          <rPr>
            <b/>
            <sz val="9"/>
            <color indexed="81"/>
            <rFont val="Tahoma"/>
            <family val="2"/>
          </rPr>
          <t>Laaksonen Aki:</t>
        </r>
        <r>
          <rPr>
            <sz val="9"/>
            <color indexed="81"/>
            <rFont val="Tahoma"/>
            <family val="2"/>
          </rPr>
          <t xml:space="preserve">
</t>
        </r>
        <r>
          <rPr>
            <b/>
            <u/>
            <sz val="9"/>
            <color indexed="81"/>
            <rFont val="Tahoma"/>
            <family val="2"/>
          </rPr>
          <t>Erotus:</t>
        </r>
        <r>
          <rPr>
            <sz val="9"/>
            <color indexed="81"/>
            <rFont val="Tahoma"/>
            <family val="2"/>
          </rPr>
          <t xml:space="preserve">
Kassabudjetin erotus tilikauden tavoitteeseen verrattuna.</t>
        </r>
      </text>
    </comment>
    <comment ref="G104" authorId="0" shapeId="0" xr:uid="{5263F4E0-1118-4C08-99DC-EFB082E9C980}">
      <text>
        <r>
          <rPr>
            <b/>
            <sz val="9"/>
            <color indexed="81"/>
            <rFont val="Tahoma"/>
            <family val="2"/>
          </rPr>
          <t>Laaksonen Aki:</t>
        </r>
        <r>
          <rPr>
            <sz val="9"/>
            <color indexed="81"/>
            <rFont val="Tahoma"/>
            <family val="2"/>
          </rPr>
          <t xml:space="preserve">
</t>
        </r>
        <r>
          <rPr>
            <b/>
            <u/>
            <sz val="9"/>
            <color indexed="81"/>
            <rFont val="Tahoma"/>
            <family val="2"/>
          </rPr>
          <t>Lainojen nostot ja osamaksujen lisäykset:</t>
        </r>
        <r>
          <rPr>
            <sz val="9"/>
            <color indexed="81"/>
            <rFont val="Tahoma"/>
            <family val="2"/>
          </rPr>
          <t xml:space="preserve">
Luku sisältää koko vuoden pitkäaikaiset laina- ja osamaksulisäykset taulukosta 4 LAINAT.
Lisää lyhytaikaiset ja muut ilman velkakirjaa nostetut lainat.</t>
        </r>
        <r>
          <rPr>
            <b/>
            <sz val="9"/>
            <color indexed="81"/>
            <rFont val="Tahoma"/>
            <family val="2"/>
          </rPr>
          <t xml:space="preserve"> Sijoita oikealle kuukaudelle!</t>
        </r>
      </text>
    </comment>
    <comment ref="L105" authorId="0" shapeId="0" xr:uid="{103ADA4C-7CCB-4C02-97C8-13DF8E102BA4}">
      <text>
        <r>
          <rPr>
            <b/>
            <sz val="9"/>
            <color indexed="81"/>
            <rFont val="Tahoma"/>
            <family val="2"/>
          </rPr>
          <t>Laaksonen Aki:</t>
        </r>
        <r>
          <rPr>
            <sz val="9"/>
            <color indexed="81"/>
            <rFont val="Tahoma"/>
            <family val="2"/>
          </rPr>
          <t xml:space="preserve">
</t>
        </r>
        <r>
          <rPr>
            <b/>
            <u/>
            <sz val="9"/>
            <color indexed="81"/>
            <rFont val="Tahoma"/>
            <family val="2"/>
          </rPr>
          <t>Lainojen lyhennykset:</t>
        </r>
        <r>
          <rPr>
            <sz val="9"/>
            <color indexed="81"/>
            <rFont val="Tahoma"/>
            <family val="2"/>
          </rPr>
          <t xml:space="preserve">
Ohjelma arvioi lainanlyhennykset 6 kk välein 2 kertaa vuodessa.
Muuta toteutuvan mukaiseksi.
Lisää lyhytaikaisten velkojen ja muiden ilman velkakirjaa olevien lainojen lyhennykset.</t>
        </r>
      </text>
    </comment>
    <comment ref="R105" authorId="0" shapeId="0" xr:uid="{C1AFA1A8-F792-428A-9A0D-0A1D4A639341}">
      <text>
        <r>
          <rPr>
            <b/>
            <sz val="9"/>
            <color indexed="81"/>
            <rFont val="Tahoma"/>
            <family val="2"/>
          </rPr>
          <t>Laaksonen Aki:</t>
        </r>
        <r>
          <rPr>
            <sz val="9"/>
            <color indexed="81"/>
            <rFont val="Tahoma"/>
            <family val="2"/>
          </rPr>
          <t xml:space="preserve">
</t>
        </r>
        <r>
          <rPr>
            <b/>
            <u/>
            <sz val="9"/>
            <color indexed="81"/>
            <rFont val="Tahoma"/>
            <family val="2"/>
          </rPr>
          <t>Lainojen lyhennykset:</t>
        </r>
        <r>
          <rPr>
            <sz val="9"/>
            <color indexed="81"/>
            <rFont val="Tahoma"/>
            <family val="2"/>
          </rPr>
          <t xml:space="preserve">
Ohjelma arvioi lainanlyhennykset 6 kk välein 2 kertaa vuodessa.
Muuta toteutuvan mukaiseksi.
Lisää lyhytaikaisten velkojen ja muiden ilman velkakirjaa olevien lainojen lyhennykset.</t>
        </r>
      </text>
    </comment>
    <comment ref="G106" authorId="0" shapeId="0" xr:uid="{E8E7522F-D2B7-4273-A76A-3F9A1ED3FA3A}">
      <text>
        <r>
          <rPr>
            <b/>
            <sz val="9"/>
            <color indexed="81"/>
            <rFont val="Tahoma"/>
            <family val="2"/>
          </rPr>
          <t>Laaksonen Aki:</t>
        </r>
        <r>
          <rPr>
            <sz val="9"/>
            <color indexed="81"/>
            <rFont val="Tahoma"/>
            <family val="2"/>
          </rPr>
          <t xml:space="preserve">
</t>
        </r>
        <r>
          <rPr>
            <b/>
            <u/>
            <sz val="9"/>
            <color indexed="81"/>
            <rFont val="Tahoma"/>
            <family val="2"/>
          </rPr>
          <t>Osingot, yksityiskäyttö:</t>
        </r>
        <r>
          <rPr>
            <sz val="9"/>
            <color indexed="81"/>
            <rFont val="Tahoma"/>
            <family val="2"/>
          </rPr>
          <t xml:space="preserve">
Lisää osingonmaksut / yksityisotot.</t>
        </r>
      </text>
    </comment>
    <comment ref="G107" authorId="0" shapeId="0" xr:uid="{DD4E6960-0434-40CD-A620-2A6A17C1BBEE}">
      <text>
        <r>
          <rPr>
            <b/>
            <sz val="9"/>
            <color indexed="81"/>
            <rFont val="Tahoma"/>
            <family val="2"/>
          </rPr>
          <t>Laaksonen Aki:</t>
        </r>
        <r>
          <rPr>
            <sz val="9"/>
            <color indexed="81"/>
            <rFont val="Tahoma"/>
            <family val="2"/>
          </rPr>
          <t xml:space="preserve">
</t>
        </r>
        <r>
          <rPr>
            <b/>
            <u/>
            <sz val="9"/>
            <color indexed="81"/>
            <rFont val="Tahoma"/>
            <family val="2"/>
          </rPr>
          <t>Omistajien lisäsijoitukset:</t>
        </r>
        <r>
          <rPr>
            <sz val="9"/>
            <color indexed="81"/>
            <rFont val="Tahoma"/>
            <family val="2"/>
          </rPr>
          <t xml:space="preserve">
Omistajien sijoitukset yritykseen ensimmäisen ennustevuoden jälkeen taulukosta 1 INVESTOINTISUUNNITELMA.
Sijoita oikealle kuukaudelle.
</t>
        </r>
      </text>
    </comment>
    <comment ref="G108" authorId="0" shapeId="0" xr:uid="{8A1BDDD1-2BE4-4AF1-AA5D-4438B9941081}">
      <text>
        <r>
          <rPr>
            <b/>
            <sz val="9"/>
            <color indexed="81"/>
            <rFont val="Tahoma"/>
            <family val="2"/>
          </rPr>
          <t>Laaksonen Aki:</t>
        </r>
        <r>
          <rPr>
            <sz val="9"/>
            <color indexed="81"/>
            <rFont val="Tahoma"/>
            <family val="2"/>
          </rPr>
          <t xml:space="preserve">
</t>
        </r>
        <r>
          <rPr>
            <b/>
            <u/>
            <sz val="9"/>
            <color indexed="81"/>
            <rFont val="Tahoma"/>
            <family val="2"/>
          </rPr>
          <t>Muu pääomarahoitus:</t>
        </r>
        <r>
          <rPr>
            <sz val="9"/>
            <color indexed="81"/>
            <rFont val="Tahoma"/>
            <family val="2"/>
          </rPr>
          <t xml:space="preserve">
Omistajien antamat pääomalainat taulukosta 1 INVESTOINTISUUNNITELMA kohdasta 13.
Sijoita oikealle kuukaudelle.
</t>
        </r>
      </text>
    </comment>
    <comment ref="R112" authorId="0" shapeId="0" xr:uid="{8DFB2A09-2CDC-453D-B3D3-9E684F55EF42}">
      <text>
        <r>
          <rPr>
            <b/>
            <sz val="9"/>
            <color indexed="81"/>
            <rFont val="Tahoma"/>
            <family val="2"/>
          </rPr>
          <t>Laaksonen Aki:</t>
        </r>
        <r>
          <rPr>
            <sz val="9"/>
            <color indexed="81"/>
            <rFont val="Tahoma"/>
            <family val="2"/>
          </rPr>
          <t xml:space="preserve">
</t>
        </r>
        <r>
          <rPr>
            <b/>
            <u/>
            <sz val="9"/>
            <color indexed="81"/>
            <rFont val="Tahoma"/>
            <family val="2"/>
          </rPr>
          <t>Kumulatiivinen kassa kuukauden lopussa:</t>
        </r>
        <r>
          <rPr>
            <sz val="9"/>
            <color indexed="81"/>
            <rFont val="Tahoma"/>
            <family val="2"/>
          </rPr>
          <t xml:space="preserve">
Suunnittelukauden viimeisen kuukauden kassavarat.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0237B7B9-EFBB-497E-AB42-26952C2B6DB4}">
      <text>
        <r>
          <rPr>
            <b/>
            <sz val="9"/>
            <color indexed="81"/>
            <rFont val="Tahoma"/>
            <family val="2"/>
          </rPr>
          <t>Laaksonen Aki:</t>
        </r>
        <r>
          <rPr>
            <sz val="9"/>
            <color indexed="81"/>
            <rFont val="Tahoma"/>
            <family val="2"/>
          </rPr>
          <t xml:space="preserve">
</t>
        </r>
        <r>
          <rPr>
            <b/>
            <sz val="9"/>
            <color indexed="81"/>
            <rFont val="Tahoma"/>
            <family val="2"/>
          </rPr>
          <t>TÄYTÄ TAULUKOT NUMEROJÄRJESTYKSESSÄ</t>
        </r>
        <r>
          <rPr>
            <sz val="9"/>
            <color indexed="81"/>
            <rFont val="Tahoma"/>
            <family val="2"/>
          </rPr>
          <t xml:space="preserve">, JÄRJESTYSNUMERONAPPULAT VASEMMALLA!
INVESTOINNIT TEHDÄÄN YLEENSÄ ALV-HINNOIN! </t>
        </r>
        <r>
          <rPr>
            <b/>
            <sz val="9"/>
            <color indexed="81"/>
            <rFont val="Tahoma"/>
            <family val="2"/>
          </rPr>
          <t xml:space="preserve">KIRJOITA LUVUT ILMAN SENTTEJÄ KOKONAISLUKUINA! </t>
        </r>
        <r>
          <rPr>
            <sz val="9"/>
            <color indexed="81"/>
            <rFont val="Tahoma"/>
            <family val="2"/>
          </rPr>
          <t xml:space="preserve">
Laskentaohjelmassa täytetään vain sinisiä ruutuja (soluja). Muut solut ovat tarkoituksella lukittu. Laskennan edetessä ohjelma laskee lukittuihin soluihin arvoja. Täytä sivu kerrallaan seuraamalla vasemman reunan numerointia.
</t>
        </r>
        <r>
          <rPr>
            <b/>
            <sz val="9"/>
            <color indexed="81"/>
            <rFont val="Tahoma"/>
            <family val="2"/>
          </rPr>
          <t xml:space="preserve">Mikäli investointeja ei tehdä, voit siirtyä suoraan kohtaan 2 &amp; 7 TULOSSUUNNNITELMA </t>
        </r>
        <r>
          <rPr>
            <sz val="9"/>
            <color indexed="81"/>
            <rFont val="Tahoma"/>
            <family val="2"/>
          </rPr>
          <t xml:space="preserve">
Rivit 1-7: Investoinnit on arvioitava toteutumisajankohdan mukaisesti.
Rivi 9: Käyttöpääoman lisäyksellä tarkoitetaan investoinnin aiheuttamaa pysyvää käyttöpääoman lisätarvetta. 
          </t>
        </r>
        <r>
          <rPr>
            <sz val="9"/>
            <color indexed="30"/>
            <rFont val="Tahoma"/>
            <family val="2"/>
          </rPr>
          <t>Käyttöpääoma = Vaihto-omaisuus + myyntisaamiset - ostovelat - saadut ennakkomaksut.</t>
        </r>
        <r>
          <rPr>
            <sz val="9"/>
            <color indexed="81"/>
            <rFont val="Tahoma"/>
            <family val="2"/>
          </rPr>
          <t xml:space="preserve">
Rivi 10: Liiketoimintakaupan tavaravarasto ja/tai alkuvaraston hankintahinta 
Rivi 12: Oman pääoman lisäykset.
Rivi 13: Tulorahoitus, joka voidaan käyttää tähän investointiin.
Rivi 14: Pääomalainan lisäys.
Rivi 15: Omistajien antamat velkakirjalainat, omaisuuden ja sijoitusten myynnistä saadut rahat, oman työn ja materiaalin osuus.
</t>
        </r>
        <r>
          <rPr>
            <b/>
            <sz val="9"/>
            <color indexed="81"/>
            <rFont val="Tahoma"/>
            <family val="2"/>
          </rPr>
          <t xml:space="preserve">Huomioi laskennassa investoinnin vaikutukset kustannuksiin tuleville vuosille: </t>
        </r>
        <r>
          <rPr>
            <sz val="9"/>
            <color indexed="81"/>
            <rFont val="Tahoma"/>
            <family val="2"/>
          </rPr>
          <t xml:space="preserve">
* Kone-/laiteinvestoinnit: - raaka-aineet, työvoimakulut, sähkö, vesi, polttoaine, vakuutus, huolto, korjaus, ohjelmat jne...
* Kiinteistöinvestoinnit: - lämmitys, sähkö, vesi, kiinteistövero, vakuutus, siivous, vartiointi, jäte jne... 
</t>
        </r>
      </text>
    </comment>
    <comment ref="E16" authorId="0" shapeId="0" xr:uid="{C9F278DD-0ECE-45C2-B43B-F02A142241CB}">
      <text>
        <r>
          <rPr>
            <b/>
            <sz val="9"/>
            <color indexed="81"/>
            <rFont val="Tahoma"/>
            <family val="2"/>
          </rPr>
          <t>Laaksonen Aki:</t>
        </r>
        <r>
          <rPr>
            <sz val="9"/>
            <color indexed="81"/>
            <rFont val="Tahoma"/>
            <family val="2"/>
          </rPr>
          <t xml:space="preserve">
Tilikauden päättymisvuosi</t>
        </r>
      </text>
    </comment>
    <comment ref="D20" authorId="0" shapeId="0" xr:uid="{1229A1F2-8C33-4465-9042-66AAD3455F3F}">
      <text>
        <r>
          <rPr>
            <b/>
            <sz val="9"/>
            <color indexed="81"/>
            <rFont val="Tahoma"/>
            <family val="2"/>
          </rPr>
          <t>Laaksonen Aki:</t>
        </r>
        <r>
          <rPr>
            <sz val="9"/>
            <color indexed="81"/>
            <rFont val="Tahoma"/>
            <family val="2"/>
          </rPr>
          <t xml:space="preserve">
</t>
        </r>
        <r>
          <rPr>
            <b/>
            <u/>
            <sz val="9"/>
            <color indexed="81"/>
            <rFont val="Tahoma"/>
            <family val="2"/>
          </rPr>
          <t>Uudisrakennukset ja rakennelmat (sis. alv):</t>
        </r>
        <r>
          <rPr>
            <sz val="9"/>
            <color indexed="81"/>
            <rFont val="Tahoma"/>
            <family val="2"/>
          </rPr>
          <t xml:space="preserve">
Investoinnit, joista voidaan tehdä poistoja ja vähentää arvonlisävero.
Sosiaali- ja terveyspalvelukäytön investoinneista ei voida vähentää arvonlisäveroa.
Kohtaan 3. merkitään investoinnit, joista ei voida vähentää arvonlisäveroa. </t>
        </r>
      </text>
    </comment>
    <comment ref="E22" authorId="0" shapeId="0" xr:uid="{A5F08B46-F5E7-4AEC-B3EF-AC70585D60E3}">
      <text>
        <r>
          <rPr>
            <b/>
            <sz val="9"/>
            <color indexed="81"/>
            <rFont val="Tahoma"/>
            <family val="2"/>
          </rPr>
          <t>Laaksonen Aki:</t>
        </r>
        <r>
          <rPr>
            <sz val="9"/>
            <color indexed="81"/>
            <rFont val="Tahoma"/>
            <family val="2"/>
          </rPr>
          <t xml:space="preserve">
</t>
        </r>
        <r>
          <rPr>
            <b/>
            <u/>
            <sz val="9"/>
            <color indexed="81"/>
            <rFont val="Tahoma"/>
            <family val="2"/>
          </rPr>
          <t>Arvonlisäveroprosentit:</t>
        </r>
        <r>
          <rPr>
            <sz val="9"/>
            <color indexed="81"/>
            <rFont val="Tahoma"/>
            <family val="2"/>
          </rPr>
          <t xml:space="preserve">
- 25,5 % yleinen arvonlisävero
- 0 %, jos yrityksen toimiala terveys- ja sosiaalipalvelut tai rahoitus- ja vakuutuspalvelut.
- 0 %, jos yrityksen vuosiliikevaihto alle 10 000 €/ vuosi. 
- 0 % yrityskaupan yhteydessä, osto ulkomailta ja yksityishenkilöltä</t>
        </r>
      </text>
    </comment>
    <comment ref="D24" authorId="0" shapeId="0" xr:uid="{E80C82B1-2A83-4666-B089-6FB1905BBD42}">
      <text>
        <r>
          <rPr>
            <b/>
            <sz val="9"/>
            <color indexed="81"/>
            <rFont val="Tahoma"/>
            <family val="2"/>
          </rPr>
          <t>Laaksonen Aki:</t>
        </r>
        <r>
          <rPr>
            <sz val="9"/>
            <color indexed="81"/>
            <rFont val="Tahoma"/>
            <family val="2"/>
          </rPr>
          <t xml:space="preserve">
</t>
        </r>
        <r>
          <rPr>
            <b/>
            <u/>
            <sz val="9"/>
            <color indexed="81"/>
            <rFont val="Tahoma"/>
            <family val="2"/>
          </rPr>
          <t>Rakennukset ja rakennelmat:</t>
        </r>
        <r>
          <rPr>
            <sz val="9"/>
            <color indexed="81"/>
            <rFont val="Tahoma"/>
            <family val="2"/>
          </rPr>
          <t xml:space="preserve">
Rakennukset, kiinteistöt ja rakennelmat, joista voidaan tehdä poistoja, mutta ei voida vähentää arvonlisäveroa.</t>
        </r>
      </text>
    </comment>
    <comment ref="D27" authorId="0" shapeId="0" xr:uid="{49641E1F-AFCA-4292-8946-FB92D60C8DE6}">
      <text>
        <r>
          <rPr>
            <b/>
            <sz val="9"/>
            <color indexed="81"/>
            <rFont val="Tahoma"/>
            <family val="2"/>
          </rPr>
          <t>Laaksonen Aki:</t>
        </r>
        <r>
          <rPr>
            <sz val="9"/>
            <color indexed="81"/>
            <rFont val="Tahoma"/>
            <family val="2"/>
          </rPr>
          <t xml:space="preserve">
</t>
        </r>
        <r>
          <rPr>
            <b/>
            <sz val="9"/>
            <color indexed="81"/>
            <rFont val="Tahoma"/>
            <family val="2"/>
          </rPr>
          <t xml:space="preserve">
</t>
        </r>
        <r>
          <rPr>
            <b/>
            <u/>
            <sz val="9"/>
            <color indexed="81"/>
            <rFont val="Tahoma"/>
            <family val="2"/>
          </rPr>
          <t>Koneet ja kalusto (sis. alv):</t>
        </r>
        <r>
          <rPr>
            <sz val="9"/>
            <color indexed="81"/>
            <rFont val="Tahoma"/>
            <family val="2"/>
          </rPr>
          <t xml:space="preserve">
Investoinnit, joista voidaan vähentää arvonlisävero. 
Vaihtokaupassa käytä välirahan määrää. </t>
        </r>
      </text>
    </comment>
    <comment ref="E27" authorId="0" shapeId="0" xr:uid="{EA319B81-CC3A-4BB1-97B4-C31CF08BF717}">
      <text>
        <r>
          <rPr>
            <b/>
            <sz val="9"/>
            <color indexed="81"/>
            <rFont val="Tahoma"/>
            <family val="2"/>
          </rPr>
          <t>Laaksonen Aki:</t>
        </r>
        <r>
          <rPr>
            <sz val="9"/>
            <color indexed="81"/>
            <rFont val="Tahoma"/>
            <family val="2"/>
          </rPr>
          <t xml:space="preserve">
Vaihtokaupassa käytä välirahan määrää!</t>
        </r>
      </text>
    </comment>
    <comment ref="E28" authorId="0" shapeId="0" xr:uid="{5B2E568F-AFF7-44F8-815C-9A348DA00320}">
      <text>
        <r>
          <rPr>
            <b/>
            <sz val="9"/>
            <color indexed="81"/>
            <rFont val="Tahoma"/>
            <family val="2"/>
          </rPr>
          <t>Laaksonen Aki:</t>
        </r>
        <r>
          <rPr>
            <sz val="9"/>
            <color indexed="81"/>
            <rFont val="Tahoma"/>
            <family val="2"/>
          </rPr>
          <t xml:space="preserve">
</t>
        </r>
        <r>
          <rPr>
            <b/>
            <u/>
            <sz val="9"/>
            <color indexed="81"/>
            <rFont val="Tahoma"/>
            <family val="2"/>
          </rPr>
          <t>Arvonlisäveroprosentit:</t>
        </r>
        <r>
          <rPr>
            <sz val="9"/>
            <color indexed="81"/>
            <rFont val="Tahoma"/>
            <family val="2"/>
          </rPr>
          <t xml:space="preserve">
- 25,5 % yleinen arvonlisävero
- 0 %, jos yrityksen toimiala terveys- ja sosiaalipalvelut tai rahoitus- ja vakuutuspalvelut.
- 0 %, jos yrityksen vuosiliikevaihto alle 10 000 €/ vuosi. 
- 0 % yrityskaupan yhteydessä, osto ulkomailta ja yksityishenkilöltä</t>
        </r>
      </text>
    </comment>
    <comment ref="D30" authorId="0" shapeId="0" xr:uid="{8AD70445-43D8-4C33-95FD-C1D1763A0EA6}">
      <text>
        <r>
          <rPr>
            <b/>
            <sz val="9"/>
            <color indexed="81"/>
            <rFont val="Tahoma"/>
            <family val="2"/>
          </rPr>
          <t>Laaksonen Aki:</t>
        </r>
        <r>
          <rPr>
            <sz val="9"/>
            <color indexed="81"/>
            <rFont val="Tahoma"/>
            <family val="2"/>
          </rPr>
          <t xml:space="preserve">
</t>
        </r>
        <r>
          <rPr>
            <b/>
            <u/>
            <sz val="9"/>
            <color indexed="81"/>
            <rFont val="Tahoma"/>
            <family val="2"/>
          </rPr>
          <t>Koneet ja kalusto (alv 0 %):</t>
        </r>
        <r>
          <rPr>
            <sz val="9"/>
            <color indexed="81"/>
            <rFont val="Tahoma"/>
            <family val="2"/>
          </rPr>
          <t xml:space="preserve">
Koneet ja kalusto investoinnit, joista ei voida vähentää arvonlisäveroa.
Vaihtokaupassa kirjoita välirahan määrä.
Esim. ulkomailta ostettavat koneet ja laitteet, yrityskaupassa siirtyvä kalusto, osto yksityishenkilöltä, työsuhdeautot.</t>
        </r>
      </text>
    </comment>
    <comment ref="D32" authorId="0" shapeId="0" xr:uid="{1353FF56-4BC4-4A85-9C91-D764A8D74FC9}">
      <text>
        <r>
          <rPr>
            <b/>
            <sz val="9"/>
            <color indexed="81"/>
            <rFont val="Tahoma"/>
            <family val="2"/>
          </rPr>
          <t>Laaksonen Aki:</t>
        </r>
        <r>
          <rPr>
            <sz val="9"/>
            <color indexed="81"/>
            <rFont val="Tahoma"/>
            <family val="2"/>
          </rPr>
          <t xml:space="preserve">
</t>
        </r>
        <r>
          <rPr>
            <b/>
            <u/>
            <sz val="9"/>
            <color indexed="81"/>
            <rFont val="Tahoma"/>
            <family val="2"/>
          </rPr>
          <t>Muut aineelliset hyödykkeet (sis. alv):</t>
        </r>
        <r>
          <rPr>
            <sz val="9"/>
            <color indexed="81"/>
            <rFont val="Tahoma"/>
            <family val="2"/>
          </rPr>
          <t xml:space="preserve">
Esim. yrityksen omistaman tontin maanrakennus, asfaltointi, salaojitus tms. sis. alv.</t>
        </r>
      </text>
    </comment>
    <comment ref="E33" authorId="0" shapeId="0" xr:uid="{29842D84-84FA-49BE-8C50-4C92EB450177}">
      <text>
        <r>
          <rPr>
            <b/>
            <sz val="9"/>
            <color indexed="81"/>
            <rFont val="Tahoma"/>
            <family val="2"/>
          </rPr>
          <t>Laaksonen Aki:</t>
        </r>
        <r>
          <rPr>
            <sz val="9"/>
            <color indexed="81"/>
            <rFont val="Tahoma"/>
            <family val="2"/>
          </rPr>
          <t xml:space="preserve">
</t>
        </r>
        <r>
          <rPr>
            <b/>
            <u/>
            <sz val="9"/>
            <color indexed="81"/>
            <rFont val="Tahoma"/>
            <family val="2"/>
          </rPr>
          <t>Arvonlisäveroprosentit:</t>
        </r>
        <r>
          <rPr>
            <sz val="9"/>
            <color indexed="81"/>
            <rFont val="Tahoma"/>
            <family val="2"/>
          </rPr>
          <t xml:space="preserve">
- 25,5 % yleinen arvonlisävero
- 0 %, jos yrityksen toimiala terveys- ja sosiaalipalvelut tai rahoitus- ja vakuutuspalvelut.
- 0 %, jos yrityksen vuosiliikevaihto alle 10 000 €/ vuosi. 
- 0 % yrityskaupan yhteydessä, osto ulkomailta ja yksityishenkilöltä</t>
        </r>
      </text>
    </comment>
    <comment ref="D35" authorId="0" shapeId="0" xr:uid="{4F28AF59-7FE9-4092-8F67-E0A8EB0E1330}">
      <text>
        <r>
          <rPr>
            <b/>
            <sz val="9"/>
            <color indexed="81"/>
            <rFont val="Tahoma"/>
            <family val="2"/>
          </rPr>
          <t>Laaksonen Aki:</t>
        </r>
        <r>
          <rPr>
            <sz val="9"/>
            <color indexed="81"/>
            <rFont val="Tahoma"/>
            <family val="2"/>
          </rPr>
          <t xml:space="preserve">
</t>
        </r>
        <r>
          <rPr>
            <u/>
            <sz val="9"/>
            <color indexed="81"/>
            <rFont val="Tahoma"/>
            <family val="2"/>
          </rPr>
          <t xml:space="preserve">
</t>
        </r>
        <r>
          <rPr>
            <b/>
            <u/>
            <sz val="9"/>
            <color indexed="81"/>
            <rFont val="Tahoma"/>
            <family val="2"/>
          </rPr>
          <t>Aineettomat hyödykkeet:</t>
        </r>
        <r>
          <rPr>
            <sz val="9"/>
            <color indexed="81"/>
            <rFont val="Tahoma"/>
            <family val="2"/>
          </rPr>
          <t xml:space="preserve">
</t>
        </r>
        <r>
          <rPr>
            <b/>
            <sz val="9"/>
            <color indexed="81"/>
            <rFont val="Tahoma"/>
            <family val="2"/>
          </rPr>
          <t>Aineettomat hyödykkeet verotonta tai alv 0 %</t>
        </r>
        <r>
          <rPr>
            <sz val="9"/>
            <color indexed="81"/>
            <rFont val="Tahoma"/>
            <family val="2"/>
          </rPr>
          <t xml:space="preserve">
- Yrityskaupassa yrityksen liikearvo (goodwill)
- Aineettomat oikeudet (patentti, tavaramerkki, ohjelmisto tms.) ei sis. arvonlisäveroa  
- Merkittävän tuotehitysprojektin palkka- ja markkinointimenot (projektin osuus palkka- ja markkinointikustannuksista vähennettävä taulukossa 5 KUSTANNUKSET.)
- Alv-% painotettu keskiarvo, jos tuotekehityskustannuksia.
</t>
        </r>
        <r>
          <rPr>
            <b/>
            <sz val="9"/>
            <color indexed="81"/>
            <rFont val="Tahoma"/>
            <family val="2"/>
          </rPr>
          <t>Aineettomat hyödykkeet sis. alv</t>
        </r>
        <r>
          <rPr>
            <sz val="9"/>
            <color indexed="81"/>
            <rFont val="Tahoma"/>
            <family val="2"/>
          </rPr>
          <t xml:space="preserve">
- Merkittävään tuotekehitysprojektiin sisältyvät aineet ja tarvikkeet sekä ulkopuoliset alihankintaostot. 
- Alv-verollisen liiketoiminnan käytössä olevan vuokra-asunnon ja osakehuoneiston perusparannukseen sis. työt ja tarvikkeet.
JOS USEITA ERI ALV-KANTOJA, KIRJOITA KESKIMÄÄRÄINEN ALV.</t>
        </r>
      </text>
    </comment>
    <comment ref="E36" authorId="0" shapeId="0" xr:uid="{575AEDC5-D99B-4C00-A074-BE7EE6864550}">
      <text>
        <r>
          <rPr>
            <b/>
            <sz val="9"/>
            <color indexed="81"/>
            <rFont val="Tahoma"/>
            <family val="2"/>
          </rPr>
          <t>Laaksonen Aki:</t>
        </r>
        <r>
          <rPr>
            <sz val="9"/>
            <color indexed="81"/>
            <rFont val="Tahoma"/>
            <family val="2"/>
          </rPr>
          <t xml:space="preserve">
</t>
        </r>
        <r>
          <rPr>
            <b/>
            <u/>
            <sz val="9"/>
            <color indexed="81"/>
            <rFont val="Tahoma"/>
            <family val="2"/>
          </rPr>
          <t>Arvonlisäveroprosentit:</t>
        </r>
        <r>
          <rPr>
            <sz val="9"/>
            <color indexed="81"/>
            <rFont val="Tahoma"/>
            <family val="2"/>
          </rPr>
          <t xml:space="preserve">
- 25,5 % yleinen arvonlisävero
- 0 %, jos yrityksen toimiala terveys- ja sosiaalipalvelut tai rahoitus- ja vakuutuspalvelut.
- 0 %, jos yrityksen vuosiliikevaihto alle 10 000 €/ vuosi. 
- 0 % yrityskaupan yhteydessä, osto ulkomailta ja yksityishenkilöltä</t>
        </r>
      </text>
    </comment>
    <comment ref="D38" authorId="0" shapeId="0" xr:uid="{BEE648DE-BC17-4D09-B88B-DDFC63012E8F}">
      <text>
        <r>
          <rPr>
            <b/>
            <sz val="9"/>
            <color indexed="81"/>
            <rFont val="Tahoma"/>
            <family val="2"/>
          </rPr>
          <t>Laaksonen Aki:</t>
        </r>
        <r>
          <rPr>
            <sz val="9"/>
            <color indexed="81"/>
            <rFont val="Tahoma"/>
            <family val="2"/>
          </rPr>
          <t xml:space="preserve">
</t>
        </r>
        <r>
          <rPr>
            <b/>
            <u/>
            <sz val="9"/>
            <color indexed="81"/>
            <rFont val="Tahoma"/>
            <family val="2"/>
          </rPr>
          <t>Sijoitukset:</t>
        </r>
        <r>
          <rPr>
            <sz val="9"/>
            <color indexed="81"/>
            <rFont val="Tahoma"/>
            <family val="2"/>
          </rPr>
          <t xml:space="preserve">
Liikehuoneiston ja toimitilojen osakkeiden ja muun sijoitusomaisuuden hankintahinta, joka ei sisällä arvonlisäveroa.</t>
        </r>
      </text>
    </comment>
    <comment ref="D39" authorId="0" shapeId="0" xr:uid="{3AAEC1E8-2FC0-4308-BE96-DF787CE5B319}">
      <text>
        <r>
          <rPr>
            <b/>
            <sz val="9"/>
            <color indexed="81"/>
            <rFont val="Tahoma"/>
            <family val="2"/>
          </rPr>
          <t>Laaksonen Aki:</t>
        </r>
        <r>
          <rPr>
            <sz val="9"/>
            <color indexed="81"/>
            <rFont val="Tahoma"/>
            <family val="2"/>
          </rPr>
          <t xml:space="preserve">
</t>
        </r>
        <r>
          <rPr>
            <b/>
            <u/>
            <sz val="9"/>
            <color indexed="81"/>
            <rFont val="Tahoma"/>
            <family val="2"/>
          </rPr>
          <t>Käyttöpääoman lisäys:</t>
        </r>
        <r>
          <rPr>
            <sz val="9"/>
            <color indexed="81"/>
            <rFont val="Tahoma"/>
            <family val="2"/>
          </rPr>
          <t xml:space="preserve">
Yritystoiminnan laajennus vaatii lisää käyttöpääomaa, sillä yleensä vaihto-omaisuuden (varaston) arvo kasvaa kiinteiden kulujen ohella. 
Yrityskaupassa ostettava vaihto-omaisuus otetaan huomioon käyttöpääomana.</t>
        </r>
      </text>
    </comment>
    <comment ref="E40" authorId="0" shapeId="0" xr:uid="{770CB38C-426E-414E-BEFD-89AD180910F5}">
      <text>
        <r>
          <rPr>
            <b/>
            <sz val="9"/>
            <color indexed="81"/>
            <rFont val="Tahoma"/>
            <family val="2"/>
          </rPr>
          <t>Laaksonen Aki:</t>
        </r>
        <r>
          <rPr>
            <sz val="9"/>
            <color indexed="81"/>
            <rFont val="Tahoma"/>
            <family val="2"/>
          </rPr>
          <t xml:space="preserve">
</t>
        </r>
        <r>
          <rPr>
            <b/>
            <u/>
            <sz val="9"/>
            <color indexed="81"/>
            <rFont val="Tahoma"/>
            <family val="2"/>
          </rPr>
          <t>Liiketoimintakaupan tavaravarasto, alkuvarasto:</t>
        </r>
        <r>
          <rPr>
            <sz val="9"/>
            <color indexed="81"/>
            <rFont val="Tahoma"/>
            <family val="2"/>
          </rPr>
          <t xml:space="preserve">
Yrityskaupassa ja uuden tuotemyynnin käynnistämiseksi ostettava vaihto-omaisuus "alkuvarasto", jonka kuluttaminen kestää useita kuukausia.
Normaalisti yritystä käynnistettäessä alkuvarasto hankitaan käyttöpääomalla. 
Alkuvarastoon käytettävä rahamäärä vähennetään käyttöpääoman määrästä kohdassa 9. 
- liiketoimintakaupan tavaravarasto alv 0 %
- alkuvaraston tuotteet sis. alv </t>
        </r>
      </text>
    </comment>
    <comment ref="E41" authorId="0" shapeId="0" xr:uid="{06EC64EE-E2B1-4850-A68F-55D699294F36}">
      <text>
        <r>
          <rPr>
            <b/>
            <sz val="9"/>
            <color indexed="81"/>
            <rFont val="Tahoma"/>
            <family val="2"/>
          </rPr>
          <t>Laaksonen Aki:</t>
        </r>
        <r>
          <rPr>
            <sz val="9"/>
            <color indexed="81"/>
            <rFont val="Tahoma"/>
            <family val="2"/>
          </rPr>
          <t xml:space="preserve">
</t>
        </r>
        <r>
          <rPr>
            <b/>
            <u/>
            <sz val="9"/>
            <color indexed="81"/>
            <rFont val="Tahoma"/>
            <family val="2"/>
          </rPr>
          <t>Liiketoimintakaupan tavaravarasto, alkuvarasto (arvonlisävero-%):</t>
        </r>
        <r>
          <rPr>
            <sz val="9"/>
            <color indexed="81"/>
            <rFont val="Tahoma"/>
            <family val="2"/>
          </rPr>
          <t xml:space="preserve">
- Liiketoimintakaupan tavaravarasto alv 0 %
- Alkuvarasto sisältää arvonlisäveron. Jos useita eri alv-kantoja, 
  aseta painotettu keskiarvo.</t>
        </r>
      </text>
    </comment>
    <comment ref="E48" authorId="0" shapeId="0" xr:uid="{D23726B5-F22B-432B-A312-CDFBA251573B}">
      <text>
        <r>
          <rPr>
            <b/>
            <sz val="9"/>
            <color indexed="81"/>
            <rFont val="Tahoma"/>
            <family val="2"/>
          </rPr>
          <t>Laaksonen Aki:</t>
        </r>
        <r>
          <rPr>
            <sz val="9"/>
            <color indexed="81"/>
            <rFont val="Tahoma"/>
            <family val="2"/>
          </rPr>
          <t xml:space="preserve">
</t>
        </r>
        <r>
          <rPr>
            <b/>
            <u/>
            <sz val="9"/>
            <color indexed="81"/>
            <rFont val="Tahoma"/>
            <family val="2"/>
          </rPr>
          <t>Osakepääoman muutos:</t>
        </r>
        <r>
          <rPr>
            <sz val="9"/>
            <color indexed="81"/>
            <rFont val="Tahoma"/>
            <family val="2"/>
          </rPr>
          <t xml:space="preserve">
Osakepääoman korotus tai alennus! 
Osakepääomaa voidaan maksaa myös apporttiomaisuutena (esim. koneet ja rakennukset).
Omaisuuden arvo merkitään tähän ja samansuuruisena taulukon yläosaan PÄÄOMANTARVE - valitse oikea nimike (alv 0 %).
Osakepääomaa voidaan alentaa palauttamalla sitä osakkaille tai siirtämällä osakepääomaa SVOP-rahastoon.
</t>
        </r>
      </text>
    </comment>
    <comment ref="F48" authorId="0" shapeId="0" xr:uid="{F763D2A5-1373-4C93-B3BD-9D7D32600B4B}">
      <text>
        <r>
          <rPr>
            <b/>
            <sz val="9"/>
            <color indexed="81"/>
            <rFont val="Tahoma"/>
            <family val="2"/>
          </rPr>
          <t>Laaksonen Aki:</t>
        </r>
        <r>
          <rPr>
            <sz val="9"/>
            <color indexed="81"/>
            <rFont val="Tahoma"/>
            <family val="2"/>
          </rPr>
          <t xml:space="preserve">
</t>
        </r>
        <r>
          <rPr>
            <b/>
            <u/>
            <sz val="9"/>
            <color indexed="81"/>
            <rFont val="Tahoma"/>
            <family val="2"/>
          </rPr>
          <t>Osakepääoman muutos:</t>
        </r>
        <r>
          <rPr>
            <sz val="9"/>
            <color indexed="81"/>
            <rFont val="Tahoma"/>
            <family val="2"/>
          </rPr>
          <t xml:space="preserve">
Merkitse vain osakepääoman korotus tai lisäys.</t>
        </r>
      </text>
    </comment>
    <comment ref="G48" authorId="0" shapeId="0" xr:uid="{E3AB174D-5469-42AE-A20B-CC0EF13DC609}">
      <text>
        <r>
          <rPr>
            <b/>
            <sz val="9"/>
            <color indexed="81"/>
            <rFont val="Tahoma"/>
            <family val="2"/>
          </rPr>
          <t>Laaksonen Aki:</t>
        </r>
        <r>
          <rPr>
            <sz val="9"/>
            <color indexed="81"/>
            <rFont val="Tahoma"/>
            <family val="2"/>
          </rPr>
          <t xml:space="preserve">
</t>
        </r>
        <r>
          <rPr>
            <b/>
            <u/>
            <sz val="9"/>
            <color indexed="81"/>
            <rFont val="Tahoma"/>
            <family val="2"/>
          </rPr>
          <t>Osakepääoman muutos:</t>
        </r>
        <r>
          <rPr>
            <sz val="9"/>
            <color indexed="81"/>
            <rFont val="Tahoma"/>
            <family val="2"/>
          </rPr>
          <t xml:space="preserve">
Merkitse vain osakepääoman korotus tai lisäys.</t>
        </r>
      </text>
    </comment>
    <comment ref="H48" authorId="0" shapeId="0" xr:uid="{30D4B4CC-1826-44FD-8FBC-2F545692A200}">
      <text>
        <r>
          <rPr>
            <b/>
            <sz val="9"/>
            <color indexed="81"/>
            <rFont val="Tahoma"/>
            <family val="2"/>
          </rPr>
          <t>Laaksonen Aki:</t>
        </r>
        <r>
          <rPr>
            <sz val="9"/>
            <color indexed="81"/>
            <rFont val="Tahoma"/>
            <family val="2"/>
          </rPr>
          <t xml:space="preserve">
</t>
        </r>
        <r>
          <rPr>
            <b/>
            <u/>
            <sz val="9"/>
            <color indexed="81"/>
            <rFont val="Tahoma"/>
            <family val="2"/>
          </rPr>
          <t>Osakepääoman muutos:</t>
        </r>
        <r>
          <rPr>
            <sz val="9"/>
            <color indexed="81"/>
            <rFont val="Tahoma"/>
            <family val="2"/>
          </rPr>
          <t xml:space="preserve">
Merkitse vain osakepääoman korotus tai lisäys.</t>
        </r>
      </text>
    </comment>
    <comment ref="D49" authorId="0" shapeId="0" xr:uid="{E01DC71A-1771-4F7E-8636-0D15C6E69BB6}">
      <text>
        <r>
          <rPr>
            <b/>
            <sz val="9"/>
            <color indexed="81"/>
            <rFont val="Tahoma"/>
            <family val="2"/>
          </rPr>
          <t>Laaksonen Aki:</t>
        </r>
        <r>
          <rPr>
            <sz val="9"/>
            <color indexed="81"/>
            <rFont val="Tahoma"/>
            <family val="2"/>
          </rPr>
          <t xml:space="preserve">
</t>
        </r>
        <r>
          <rPr>
            <b/>
            <sz val="9"/>
            <color indexed="81"/>
            <rFont val="Tahoma"/>
            <family val="2"/>
          </rPr>
          <t xml:space="preserve">
</t>
        </r>
        <r>
          <rPr>
            <b/>
            <u/>
            <sz val="9"/>
            <color indexed="81"/>
            <rFont val="Tahoma"/>
            <family val="2"/>
          </rPr>
          <t>Sijoitus SVOP-rahastoon:</t>
        </r>
        <r>
          <rPr>
            <sz val="9"/>
            <color indexed="81"/>
            <rFont val="Tahoma"/>
            <family val="2"/>
          </rPr>
          <t xml:space="preserve">
Osakepääoman lisäksi voidaan sijoittaa Sijoitetun vapaan pääoman rahastoon (SVOP) oman pääoman ehtoisesti.</t>
        </r>
      </text>
    </comment>
    <comment ref="E49" authorId="0" shapeId="0" xr:uid="{D936761A-5905-4CA2-8A1C-2BBF0E85E3DE}">
      <text>
        <r>
          <rPr>
            <b/>
            <sz val="9"/>
            <color indexed="81"/>
            <rFont val="Tahoma"/>
            <family val="2"/>
          </rPr>
          <t>Laaksonen Aki:</t>
        </r>
        <r>
          <rPr>
            <sz val="9"/>
            <color indexed="81"/>
            <rFont val="Tahoma"/>
            <family val="2"/>
          </rPr>
          <t xml:space="preserve">
</t>
        </r>
        <r>
          <rPr>
            <b/>
            <u/>
            <sz val="9"/>
            <color indexed="81"/>
            <rFont val="Tahoma"/>
            <family val="2"/>
          </rPr>
          <t>Sijoitus SVOP-rahastoon:</t>
        </r>
        <r>
          <rPr>
            <sz val="9"/>
            <color indexed="81"/>
            <rFont val="Tahoma"/>
            <family val="2"/>
          </rPr>
          <t xml:space="preserve">
Vain SVOP-rahaston lisäys!
Vähennys merkitään taulukko 3 TASEen riville 58.</t>
        </r>
      </text>
    </comment>
    <comment ref="F49" authorId="0" shapeId="0" xr:uid="{643E9C07-24C5-4291-B49E-0E01557F6194}">
      <text>
        <r>
          <rPr>
            <b/>
            <sz val="9"/>
            <color indexed="81"/>
            <rFont val="Tahoma"/>
            <family val="2"/>
          </rPr>
          <t>Laaksonen Aki:</t>
        </r>
        <r>
          <rPr>
            <sz val="9"/>
            <color indexed="81"/>
            <rFont val="Tahoma"/>
            <family val="2"/>
          </rPr>
          <t xml:space="preserve">
</t>
        </r>
        <r>
          <rPr>
            <b/>
            <u/>
            <sz val="9"/>
            <color indexed="81"/>
            <rFont val="Tahoma"/>
            <family val="2"/>
          </rPr>
          <t>Sijoitus SVOP-rahastoon:</t>
        </r>
        <r>
          <rPr>
            <sz val="9"/>
            <color indexed="81"/>
            <rFont val="Tahoma"/>
            <family val="2"/>
          </rPr>
          <t xml:space="preserve">
Vain SVOP-rahaston lisäys!
Vähennys merkitään taulukko 3 TASEen riville 58.</t>
        </r>
      </text>
    </comment>
    <comment ref="G49" authorId="0" shapeId="0" xr:uid="{2A14ADBE-7DC2-4A90-9CF0-79C5052069A7}">
      <text>
        <r>
          <rPr>
            <b/>
            <sz val="9"/>
            <color indexed="81"/>
            <rFont val="Tahoma"/>
            <family val="2"/>
          </rPr>
          <t>Laaksonen Aki:</t>
        </r>
        <r>
          <rPr>
            <sz val="9"/>
            <color indexed="81"/>
            <rFont val="Tahoma"/>
            <family val="2"/>
          </rPr>
          <t xml:space="preserve">
</t>
        </r>
        <r>
          <rPr>
            <b/>
            <u/>
            <sz val="9"/>
            <color indexed="81"/>
            <rFont val="Tahoma"/>
            <family val="2"/>
          </rPr>
          <t>Sijoitus SVOP-rahastoon:</t>
        </r>
        <r>
          <rPr>
            <sz val="9"/>
            <color indexed="81"/>
            <rFont val="Tahoma"/>
            <family val="2"/>
          </rPr>
          <t xml:space="preserve">
Vain SVOP-rahaston lisäys!
Vähennys merkitään taulukko 3 TASEen riville 58.</t>
        </r>
      </text>
    </comment>
    <comment ref="H49" authorId="0" shapeId="0" xr:uid="{58D7DF2F-D369-4ACD-81A2-C0FE07508C06}">
      <text>
        <r>
          <rPr>
            <b/>
            <sz val="9"/>
            <color indexed="81"/>
            <rFont val="Tahoma"/>
            <family val="2"/>
          </rPr>
          <t>Laaksonen Aki:</t>
        </r>
        <r>
          <rPr>
            <sz val="9"/>
            <color indexed="81"/>
            <rFont val="Tahoma"/>
            <family val="2"/>
          </rPr>
          <t xml:space="preserve">
</t>
        </r>
        <r>
          <rPr>
            <b/>
            <u/>
            <sz val="9"/>
            <color indexed="81"/>
            <rFont val="Tahoma"/>
            <family val="2"/>
          </rPr>
          <t>Sijoitus SVOP-rahastoon:</t>
        </r>
        <r>
          <rPr>
            <sz val="9"/>
            <color indexed="81"/>
            <rFont val="Tahoma"/>
            <family val="2"/>
          </rPr>
          <t xml:space="preserve">
Vain SVOP-rahaston lisäys!
Vähennys merkitään taulukko 3 TASEen riville 58.</t>
        </r>
      </text>
    </comment>
    <comment ref="D51" authorId="0" shapeId="0" xr:uid="{2794A2B8-7A48-4E22-BC0A-2C835F302B9D}">
      <text>
        <r>
          <rPr>
            <b/>
            <sz val="9"/>
            <color indexed="81"/>
            <rFont val="Tahoma"/>
            <family val="2"/>
          </rPr>
          <t>Laaksonen Aki:</t>
        </r>
        <r>
          <rPr>
            <sz val="9"/>
            <color indexed="81"/>
            <rFont val="Tahoma"/>
            <family val="2"/>
          </rPr>
          <t xml:space="preserve">
</t>
        </r>
        <r>
          <rPr>
            <b/>
            <u/>
            <sz val="9"/>
            <color indexed="81"/>
            <rFont val="Tahoma"/>
            <family val="2"/>
          </rPr>
          <t>Pääomalaina:</t>
        </r>
        <r>
          <rPr>
            <sz val="9"/>
            <color indexed="81"/>
            <rFont val="Tahoma"/>
            <family val="2"/>
          </rPr>
          <t xml:space="preserve">
Pääomalainat merkitään vain tähän, ei taulukkoon 4 LAINAT. 
Omistajalta  saadun velkakirjalainan ehdot määritellään velkakirjassa ja merkitään 4 LAINAT -taulukkoon.</t>
        </r>
      </text>
    </comment>
    <comment ref="E51" authorId="0" shapeId="0" xr:uid="{311905A2-693B-4483-BB6C-809D502ED02C}">
      <text>
        <r>
          <rPr>
            <b/>
            <sz val="9"/>
            <color indexed="81"/>
            <rFont val="Tahoma"/>
            <family val="2"/>
          </rPr>
          <t>Laaksonen Aki:</t>
        </r>
        <r>
          <rPr>
            <sz val="9"/>
            <color indexed="81"/>
            <rFont val="Tahoma"/>
            <family val="2"/>
          </rPr>
          <t xml:space="preserve">
</t>
        </r>
        <r>
          <rPr>
            <b/>
            <u/>
            <sz val="9"/>
            <color indexed="81"/>
            <rFont val="Tahoma"/>
            <family val="2"/>
          </rPr>
          <t>Pääomalaina:</t>
        </r>
        <r>
          <rPr>
            <sz val="9"/>
            <color indexed="81"/>
            <rFont val="Tahoma"/>
            <family val="2"/>
          </rPr>
          <t xml:space="preserve">
Vain pääomalainan lisäys!</t>
        </r>
      </text>
    </comment>
    <comment ref="F51" authorId="0" shapeId="0" xr:uid="{A67BD1ED-7D68-456A-BE24-AC4A3E7410F1}">
      <text>
        <r>
          <rPr>
            <b/>
            <sz val="9"/>
            <color indexed="81"/>
            <rFont val="Tahoma"/>
            <family val="2"/>
          </rPr>
          <t>Laaksonen Aki:</t>
        </r>
        <r>
          <rPr>
            <sz val="9"/>
            <color indexed="81"/>
            <rFont val="Tahoma"/>
            <family val="2"/>
          </rPr>
          <t xml:space="preserve">
</t>
        </r>
        <r>
          <rPr>
            <b/>
            <u/>
            <sz val="9"/>
            <color indexed="81"/>
            <rFont val="Tahoma"/>
            <family val="2"/>
          </rPr>
          <t>Pääomalaina:</t>
        </r>
        <r>
          <rPr>
            <sz val="9"/>
            <color indexed="81"/>
            <rFont val="Tahoma"/>
            <family val="2"/>
          </rPr>
          <t xml:space="preserve">
Vain pääomalainan lisäys!</t>
        </r>
      </text>
    </comment>
    <comment ref="G51" authorId="0" shapeId="0" xr:uid="{1040F855-36C6-40DF-9987-D1C264BDBFE2}">
      <text>
        <r>
          <rPr>
            <b/>
            <sz val="9"/>
            <color indexed="81"/>
            <rFont val="Tahoma"/>
            <family val="2"/>
          </rPr>
          <t>Laaksonen Aki:</t>
        </r>
        <r>
          <rPr>
            <sz val="9"/>
            <color indexed="81"/>
            <rFont val="Tahoma"/>
            <family val="2"/>
          </rPr>
          <t xml:space="preserve">
</t>
        </r>
        <r>
          <rPr>
            <b/>
            <u/>
            <sz val="9"/>
            <color indexed="81"/>
            <rFont val="Tahoma"/>
            <family val="2"/>
          </rPr>
          <t>Pääomalaina:</t>
        </r>
        <r>
          <rPr>
            <sz val="9"/>
            <color indexed="81"/>
            <rFont val="Tahoma"/>
            <family val="2"/>
          </rPr>
          <t xml:space="preserve">
Vain pääomalainan lisäys!</t>
        </r>
      </text>
    </comment>
    <comment ref="H51" authorId="0" shapeId="0" xr:uid="{FD4E11E3-A4F5-4EAF-A2DA-07FB892F08A3}">
      <text>
        <r>
          <rPr>
            <b/>
            <sz val="9"/>
            <color indexed="81"/>
            <rFont val="Tahoma"/>
            <family val="2"/>
          </rPr>
          <t>Laaksonen Aki:</t>
        </r>
        <r>
          <rPr>
            <sz val="9"/>
            <color indexed="81"/>
            <rFont val="Tahoma"/>
            <family val="2"/>
          </rPr>
          <t xml:space="preserve">
</t>
        </r>
        <r>
          <rPr>
            <b/>
            <u/>
            <sz val="9"/>
            <color indexed="81"/>
            <rFont val="Tahoma"/>
            <family val="2"/>
          </rPr>
          <t>Pääomalaina:</t>
        </r>
        <r>
          <rPr>
            <sz val="9"/>
            <color indexed="81"/>
            <rFont val="Tahoma"/>
            <family val="2"/>
          </rPr>
          <t xml:space="preserve">
Vain pääomalainan lisäys!</t>
        </r>
      </text>
    </comment>
    <comment ref="D52" authorId="0" shapeId="0" xr:uid="{D5D4DC24-FA6E-4AA2-8594-95E9E1193A2F}">
      <text>
        <r>
          <rPr>
            <b/>
            <sz val="9"/>
            <color indexed="81"/>
            <rFont val="Tahoma"/>
            <family val="2"/>
          </rPr>
          <t>Laaksonen Aki:</t>
        </r>
        <r>
          <rPr>
            <sz val="9"/>
            <color indexed="81"/>
            <rFont val="Tahoma"/>
            <family val="2"/>
          </rPr>
          <t xml:space="preserve">
</t>
        </r>
        <r>
          <rPr>
            <b/>
            <u/>
            <sz val="9"/>
            <color indexed="81"/>
            <rFont val="Tahoma"/>
            <family val="2"/>
          </rPr>
          <t>Muu oma rahoitus:</t>
        </r>
        <r>
          <rPr>
            <sz val="9"/>
            <color indexed="81"/>
            <rFont val="Tahoma"/>
            <family val="2"/>
          </rPr>
          <t xml:space="preserve">
Yleisesti rahoittajat edellyttävät, että investointisuunnitelmassa on osoitettu tulorahoituksesta hankkeeseen kohdistettu rahoitus.
Oman rahoituksen määrä on oltava yleensä vähintään 20 %. 
</t>
        </r>
        <r>
          <rPr>
            <b/>
            <sz val="9"/>
            <color indexed="81"/>
            <rFont val="Tahoma"/>
            <family val="2"/>
          </rPr>
          <t>Tulorahoituksen lisäksi tähän merkitään yhteissumma näistä oman rahan lähteistä:</t>
        </r>
        <r>
          <rPr>
            <sz val="9"/>
            <color indexed="81"/>
            <rFont val="Tahoma"/>
            <family val="2"/>
          </rPr>
          <t xml:space="preserve">
1) </t>
        </r>
        <r>
          <rPr>
            <b/>
            <sz val="9"/>
            <color indexed="81"/>
            <rFont val="Tahoma"/>
            <family val="2"/>
          </rPr>
          <t>Omistajan antama pitkäaikainen velkakirjalaina</t>
        </r>
        <r>
          <rPr>
            <sz val="9"/>
            <color indexed="81"/>
            <rFont val="Tahoma"/>
            <family val="2"/>
          </rPr>
          <t xml:space="preserve">, joka merkitään taulukkoon 4 LAINAT.
2) </t>
        </r>
        <r>
          <rPr>
            <b/>
            <sz val="9"/>
            <color indexed="81"/>
            <rFont val="Tahoma"/>
            <family val="2"/>
          </rPr>
          <t>Omaisuuden myynti:</t>
        </r>
        <r>
          <rPr>
            <sz val="9"/>
            <color indexed="81"/>
            <rFont val="Tahoma"/>
            <family val="2"/>
          </rPr>
          <t xml:space="preserve"> Mitä myydään? Lisää summa taulukkoon 3 TASE Vastaavaa / Pysyvät vastaavat riville "Vähennykset tilikaudella".
3) </t>
        </r>
        <r>
          <rPr>
            <b/>
            <sz val="9"/>
            <color indexed="81"/>
            <rFont val="Tahoma"/>
            <family val="2"/>
          </rPr>
          <t>Sijoitusten myynti (jos on TASEessa)</t>
        </r>
        <r>
          <rPr>
            <sz val="9"/>
            <color indexed="81"/>
            <rFont val="Tahoma"/>
            <family val="2"/>
          </rPr>
          <t xml:space="preserve">: Lisää summa myös taulukkoon 3 TASEen soluihin I33 - L33.
</t>
        </r>
        <r>
          <rPr>
            <b/>
            <sz val="9"/>
            <color indexed="81"/>
            <rFont val="Tahoma"/>
            <family val="2"/>
          </rPr>
          <t>Lisätään vain muistiinpanoalueelle</t>
        </r>
        <r>
          <rPr>
            <sz val="9"/>
            <color indexed="81"/>
            <rFont val="Tahoma"/>
            <family val="2"/>
          </rPr>
          <t xml:space="preserve"> selite kohtaan 12 Tulorahoitus (raha sisältyy tulorahoitusosuuteen). Esim. oman työn ja materiaalin osuus, pankkitalletuksen purkaminen.</t>
        </r>
      </text>
    </comment>
    <comment ref="E52" authorId="0" shapeId="0" xr:uid="{8FA61181-0AC7-4ADE-B5A2-61AD471B6A75}">
      <text>
        <r>
          <rPr>
            <b/>
            <sz val="9"/>
            <color indexed="81"/>
            <rFont val="Tahoma"/>
            <family val="2"/>
          </rPr>
          <t>Laaksonen Aki:</t>
        </r>
        <r>
          <rPr>
            <sz val="9"/>
            <color indexed="81"/>
            <rFont val="Tahoma"/>
            <family val="2"/>
          </rPr>
          <t xml:space="preserve">
</t>
        </r>
        <r>
          <rPr>
            <b/>
            <u/>
            <sz val="9"/>
            <color indexed="81"/>
            <rFont val="Tahoma"/>
            <family val="2"/>
          </rPr>
          <t>Muu oma rahoitus:</t>
        </r>
        <r>
          <rPr>
            <sz val="9"/>
            <color indexed="81"/>
            <rFont val="Tahoma"/>
            <family val="2"/>
          </rPr>
          <t xml:space="preserve">
Yleisesti rahoittajat edellyttävät, että investointisuunnitelmassa on osoitettu tulorahoituksesta hankkeeseen kohdistettu rahoitus.
Oman rahoituksen määrä on oltava yleensä vähintään 20 %. 
</t>
        </r>
        <r>
          <rPr>
            <b/>
            <sz val="9"/>
            <color indexed="81"/>
            <rFont val="Tahoma"/>
            <family val="2"/>
          </rPr>
          <t>Tulorahoituksen lisäksi tähän merkitään yhteissumma näistä oman rahan lähteistä:</t>
        </r>
        <r>
          <rPr>
            <sz val="9"/>
            <color indexed="81"/>
            <rFont val="Tahoma"/>
            <family val="2"/>
          </rPr>
          <t xml:space="preserve">
1) </t>
        </r>
        <r>
          <rPr>
            <b/>
            <sz val="9"/>
            <color indexed="81"/>
            <rFont val="Tahoma"/>
            <family val="2"/>
          </rPr>
          <t>Omistajan antama pitkäaikainen velkakirjalaina</t>
        </r>
        <r>
          <rPr>
            <sz val="9"/>
            <color indexed="81"/>
            <rFont val="Tahoma"/>
            <family val="2"/>
          </rPr>
          <t xml:space="preserve">, joka merkitään taulukkoon 4 LAINAT.
2) </t>
        </r>
        <r>
          <rPr>
            <b/>
            <sz val="9"/>
            <color indexed="81"/>
            <rFont val="Tahoma"/>
            <family val="2"/>
          </rPr>
          <t>Omaisuuden myynti:</t>
        </r>
        <r>
          <rPr>
            <sz val="9"/>
            <color indexed="81"/>
            <rFont val="Tahoma"/>
            <family val="2"/>
          </rPr>
          <t xml:space="preserve"> Mitä myydään? Lisää summa taulukkoon 3 TASE Vastaavaa / Pysyvät vastaavat riville "Vähennykset tilikaudella".
3) </t>
        </r>
        <r>
          <rPr>
            <b/>
            <sz val="9"/>
            <color indexed="81"/>
            <rFont val="Tahoma"/>
            <family val="2"/>
          </rPr>
          <t>Sijoitusten myynti (jos on TASEessa)</t>
        </r>
        <r>
          <rPr>
            <sz val="9"/>
            <color indexed="81"/>
            <rFont val="Tahoma"/>
            <family val="2"/>
          </rPr>
          <t xml:space="preserve">: Lisää summa myös taulukkoon 3 TASEen soluihin I33 - L33.
</t>
        </r>
        <r>
          <rPr>
            <b/>
            <sz val="9"/>
            <color indexed="81"/>
            <rFont val="Tahoma"/>
            <family val="2"/>
          </rPr>
          <t>Lisätään vain muistiinpanoalueelle</t>
        </r>
        <r>
          <rPr>
            <sz val="9"/>
            <color indexed="81"/>
            <rFont val="Tahoma"/>
            <family val="2"/>
          </rPr>
          <t xml:space="preserve"> selite kohtaan 12 Tulorahoitus (raha sisältyy tulorahoitusosuuteen). Esim. oman työn ja materiaalin osuus, pankkitalletuksen purkaminen.</t>
        </r>
      </text>
    </comment>
    <comment ref="E58" authorId="0" shapeId="0" xr:uid="{E70C16E0-DC1A-4F86-9C2F-23A5489A4A1E}">
      <text>
        <r>
          <rPr>
            <b/>
            <sz val="9"/>
            <color indexed="81"/>
            <rFont val="Tahoma"/>
            <family val="2"/>
          </rPr>
          <t>Laaksonen Aki:</t>
        </r>
        <r>
          <rPr>
            <sz val="9"/>
            <color indexed="81"/>
            <rFont val="Tahoma"/>
            <family val="2"/>
          </rPr>
          <t xml:space="preserve">
</t>
        </r>
        <r>
          <rPr>
            <b/>
            <u/>
            <sz val="9"/>
            <color indexed="81"/>
            <rFont val="Tahoma"/>
            <family val="2"/>
          </rPr>
          <t>Leasingrahoitus: Koneet ja kalusto (sis. alv):</t>
        </r>
        <r>
          <rPr>
            <sz val="9"/>
            <color indexed="81"/>
            <rFont val="Tahoma"/>
            <family val="2"/>
          </rPr>
          <t xml:space="preserve">
Leasing-rahoituksen määrä enintään 80 % investoinnista.
Merkitään koko rahoitussumma, ei maksuerän suuruutta!
Leasingvuokrien vuosikulut merkitään taulukkoon 5 KUSTANNUKSET riville 75 (Laite- ja kalustovuokrat, leasingvuokrat).</t>
        </r>
      </text>
    </comment>
    <comment ref="E59" authorId="0" shapeId="0" xr:uid="{8F7F4E10-0940-4028-9C58-DB965E02FFA7}">
      <text>
        <r>
          <rPr>
            <b/>
            <sz val="9"/>
            <color indexed="81"/>
            <rFont val="Tahoma"/>
            <family val="2"/>
          </rPr>
          <t>Laaksonen Aki:</t>
        </r>
        <r>
          <rPr>
            <sz val="9"/>
            <color indexed="81"/>
            <rFont val="Tahoma"/>
            <family val="2"/>
          </rPr>
          <t xml:space="preserve">
</t>
        </r>
        <r>
          <rPr>
            <b/>
            <u/>
            <sz val="9"/>
            <color indexed="81"/>
            <rFont val="Tahoma"/>
            <family val="2"/>
          </rPr>
          <t>Leasingrahoitus: Koneet ja kalusto (sis. alv):</t>
        </r>
        <r>
          <rPr>
            <sz val="9"/>
            <color indexed="81"/>
            <rFont val="Tahoma"/>
            <family val="2"/>
          </rPr>
          <t xml:space="preserve">
Leasing-rahoituksen määrä enintään 80 % investoinnista.
Merkitään koko rahoitussumma, ei maksuerän suuruutta!
Leasingvuokrien vuosikulut merkitään taulukkoon 5 KUSTANNUKSET riville 75 (Laite- ja kalustovuokrat, leasingvuokrat).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D241DA06-C78A-451E-803E-18C29F9C0794}">
      <text>
        <r>
          <rPr>
            <b/>
            <sz val="9"/>
            <color indexed="81"/>
            <rFont val="Tahoma"/>
            <family val="2"/>
          </rPr>
          <t>Laaksonen Aki:</t>
        </r>
        <r>
          <rPr>
            <sz val="9"/>
            <color indexed="81"/>
            <rFont val="Tahoma"/>
            <family val="2"/>
          </rPr>
          <t xml:space="preserve">
</t>
        </r>
        <r>
          <rPr>
            <b/>
            <u/>
            <sz val="9"/>
            <color indexed="81"/>
            <rFont val="Tahoma"/>
            <family val="2"/>
          </rPr>
          <t>Tulossuunnitelma:</t>
        </r>
        <r>
          <rPr>
            <sz val="9"/>
            <color indexed="81"/>
            <rFont val="Tahoma"/>
            <family val="2"/>
          </rPr>
          <t xml:space="preserve">
</t>
        </r>
        <r>
          <rPr>
            <b/>
            <sz val="9"/>
            <color indexed="81"/>
            <rFont val="Tahoma"/>
            <family val="2"/>
          </rPr>
          <t xml:space="preserve">KIRJOITA RAHASUMMAT ILMAN SENTTEJÄ KOKONAISLUKUINA sinisiin soluihin! Huomaa etumerkki! 
</t>
        </r>
        <r>
          <rPr>
            <sz val="9"/>
            <color indexed="81"/>
            <rFont val="Tahoma"/>
            <family val="2"/>
          </rPr>
          <t>Voit sijoittaa yksi tai kaksi toteutunutta tilikautta ohjelmaan.
Sijoita viimeinen toteutunut tilikausi tai meneillään olevan tilikauden ennuste sarakkeeseen H.</t>
        </r>
      </text>
    </comment>
    <comment ref="J10" authorId="0" shapeId="0" xr:uid="{5B9DE000-8E26-4983-87AC-6AFC3DB3C8D2}">
      <text>
        <r>
          <rPr>
            <b/>
            <sz val="9"/>
            <color indexed="81"/>
            <rFont val="Tahoma"/>
            <family val="2"/>
          </rPr>
          <t>Laaksonen Aki:</t>
        </r>
        <r>
          <rPr>
            <sz val="9"/>
            <color indexed="81"/>
            <rFont val="Tahoma"/>
            <family val="2"/>
          </rPr>
          <t xml:space="preserve">
</t>
        </r>
        <r>
          <rPr>
            <b/>
            <u/>
            <sz val="9"/>
            <color indexed="81"/>
            <rFont val="Tahoma"/>
            <family val="2"/>
          </rPr>
          <t>Tilikauden pituus:</t>
        </r>
        <r>
          <rPr>
            <sz val="9"/>
            <color indexed="81"/>
            <rFont val="Tahoma"/>
            <family val="2"/>
          </rPr>
          <t xml:space="preserve">
Normaali tilikauden pituus on 12 kk.
Toimivan yrityksen tilikauden pituus voi olla poikkeuksellisesti 6-18 kk. 
</t>
        </r>
        <r>
          <rPr>
            <b/>
            <sz val="9"/>
            <color indexed="81"/>
            <rFont val="Tahoma"/>
            <family val="2"/>
          </rPr>
          <t>Jos tilikauden pituus on muu kuin 12 kk, laske tilikauden kustannukset vastaamaan tilikauden pituutta.
Huomioi tulevat tilikaudet!</t>
        </r>
      </text>
    </comment>
    <comment ref="D11" authorId="0" shapeId="0" xr:uid="{D2C8032C-35A1-4DFD-BE4F-64D23D678D98}">
      <text>
        <r>
          <rPr>
            <b/>
            <sz val="9"/>
            <color indexed="81"/>
            <rFont val="Tahoma"/>
            <charset val="1"/>
          </rPr>
          <t>Laaksonen Aki:</t>
        </r>
        <r>
          <rPr>
            <sz val="9"/>
            <color indexed="81"/>
            <rFont val="Tahoma"/>
            <charset val="1"/>
          </rPr>
          <t xml:space="preserve">
</t>
        </r>
        <r>
          <rPr>
            <b/>
            <u/>
            <sz val="9"/>
            <color indexed="81"/>
            <rFont val="Tahoma"/>
            <family val="2"/>
          </rPr>
          <t>Liikevaihto:</t>
        </r>
        <r>
          <rPr>
            <sz val="9"/>
            <color indexed="81"/>
            <rFont val="Tahoma"/>
            <charset val="1"/>
          </rPr>
          <t xml:space="preserve">
Liikevaihtoon luetaan kirjanpitovelvollisen varsinaisen toiminnan myyntituotot, joista on vähennetty myönnetyt alennukset sekä arvonlisävero ja muut myynnin määrään perustuvat verot.</t>
        </r>
      </text>
    </comment>
    <comment ref="F11" authorId="0" shapeId="0" xr:uid="{3D1C1099-C56C-46F8-9D69-384DCBCCF815}">
      <text>
        <r>
          <rPr>
            <b/>
            <sz val="9"/>
            <color indexed="81"/>
            <rFont val="Tahoma"/>
            <family val="2"/>
          </rPr>
          <t>Laaksonen Aki:</t>
        </r>
        <r>
          <rPr>
            <sz val="9"/>
            <color indexed="81"/>
            <rFont val="Tahoma"/>
            <family val="2"/>
          </rPr>
          <t xml:space="preserve">
Kirjoita kokonaislukuna ilman senttejä.</t>
        </r>
      </text>
    </comment>
    <comment ref="J11" authorId="0" shapeId="0" xr:uid="{B7F5E62B-37BE-42CC-84DD-FC6F9EB0A2B9}">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Ennustevuosien liikevaihdot ennustetaan taulukossa 6 LIIKEVAIHTO ja täyttöjärjestyksen kohdassa 5.</t>
        </r>
      </text>
    </comment>
    <comment ref="D12" authorId="0" shapeId="0" xr:uid="{82F04C50-3580-468B-A3B5-BD46E3B783DA}">
      <text>
        <r>
          <rPr>
            <b/>
            <sz val="9"/>
            <color indexed="81"/>
            <rFont val="Tahoma"/>
            <family val="2"/>
          </rPr>
          <t>Laaksonen Aki:</t>
        </r>
        <r>
          <rPr>
            <sz val="9"/>
            <color indexed="81"/>
            <rFont val="Tahoma"/>
            <family val="2"/>
          </rPr>
          <t xml:space="preserve">
</t>
        </r>
        <r>
          <rPr>
            <b/>
            <u/>
            <sz val="9"/>
            <color indexed="81"/>
            <rFont val="Tahoma"/>
            <family val="2"/>
          </rPr>
          <t>Liiketoiminnan muut tuotot:</t>
        </r>
        <r>
          <rPr>
            <sz val="9"/>
            <color indexed="81"/>
            <rFont val="Tahoma"/>
            <family val="2"/>
          </rPr>
          <t xml:space="preserve">
Liiketoiminnan muut tuotot ovat tuottoja, jotka eivät kuulu liikevaihtoon.
Ne ovat tuottoja, jotka tulevat jostain muusta kuin yrityksen varsinaisesta toiminnasta.
Tällaisia tuottoja ovat mm. vuokratuotot, saadut provisiot, muilta yrityksiltä perityt hallinto-, tietojenkäsittely- yms.
korvaukset, mikäli yrityksen varsinaisena toimialana ei ole vuokraustoiminta tai mainittujen palvelujen tuottaminen.</t>
        </r>
      </text>
    </comment>
    <comment ref="F12" authorId="0" shapeId="0" xr:uid="{367BC9E4-22EB-4D2A-A0B4-4D29506A7D23}">
      <text>
        <r>
          <rPr>
            <b/>
            <sz val="9"/>
            <color indexed="81"/>
            <rFont val="Tahoma"/>
            <family val="2"/>
          </rPr>
          <t>Laaksonen Aki:</t>
        </r>
        <r>
          <rPr>
            <sz val="9"/>
            <color indexed="81"/>
            <rFont val="Tahoma"/>
            <family val="2"/>
          </rPr>
          <t xml:space="preserve">
Kirjoita kokonaislukuna ilman senttejä.</t>
        </r>
      </text>
    </comment>
    <comment ref="J12" authorId="0" shapeId="0" xr:uid="{3D5A3870-45DD-4689-B3CC-896FCE1B084B}">
      <text>
        <r>
          <rPr>
            <b/>
            <sz val="9"/>
            <color indexed="81"/>
            <rFont val="Tahoma"/>
            <family val="2"/>
          </rPr>
          <t>Laaksonen Aki:</t>
        </r>
        <r>
          <rPr>
            <sz val="9"/>
            <color indexed="81"/>
            <rFont val="Tahoma"/>
            <family val="2"/>
          </rPr>
          <t xml:space="preserve">
</t>
        </r>
        <r>
          <rPr>
            <b/>
            <u/>
            <sz val="9"/>
            <color indexed="81"/>
            <rFont val="Tahoma"/>
            <family val="2"/>
          </rPr>
          <t>Liiketoiminnan muut tuotot:</t>
        </r>
        <r>
          <rPr>
            <sz val="9"/>
            <color indexed="81"/>
            <rFont val="Tahoma"/>
            <family val="2"/>
          </rPr>
          <t xml:space="preserve">
Muut tuotot voidaan kirjoittaa suoraan soluun tai lisää viereisen Muistiinpanoja-alueen taulukkoon %-kasvu!</t>
        </r>
      </text>
    </comment>
    <comment ref="F13" authorId="0" shapeId="0" xr:uid="{A0D9BBCC-2B87-4F90-A99A-C4D4A64D9BC9}">
      <text>
        <r>
          <rPr>
            <b/>
            <sz val="9"/>
            <color indexed="81"/>
            <rFont val="Tahoma"/>
            <family val="2"/>
          </rPr>
          <t>Laaksonen Aki:</t>
        </r>
        <r>
          <rPr>
            <sz val="9"/>
            <color indexed="81"/>
            <rFont val="Tahoma"/>
            <family val="2"/>
          </rPr>
          <t xml:space="preserve">
Kirjoita kokonaislukuna ilman senttejä.</t>
        </r>
      </text>
    </comment>
    <comment ref="D15" authorId="0" shapeId="0" xr:uid="{63B233B1-FCE7-4697-A223-CC8E78D19EE4}">
      <text>
        <r>
          <rPr>
            <b/>
            <sz val="9"/>
            <color indexed="81"/>
            <rFont val="Tahoma"/>
            <family val="2"/>
          </rPr>
          <t>Laaksonen Aki:</t>
        </r>
        <r>
          <rPr>
            <sz val="9"/>
            <color indexed="81"/>
            <rFont val="Tahoma"/>
            <family val="2"/>
          </rPr>
          <t xml:space="preserve">
</t>
        </r>
        <r>
          <rPr>
            <b/>
            <u/>
            <sz val="9"/>
            <color indexed="81"/>
            <rFont val="Tahoma"/>
            <family val="2"/>
          </rPr>
          <t>Aine- ja tarvikekäyttö:</t>
        </r>
        <r>
          <rPr>
            <sz val="9"/>
            <color indexed="81"/>
            <rFont val="Tahoma"/>
            <family val="2"/>
          </rPr>
          <t xml:space="preserve">
Aine- ja tarvikekäytöllä tarkoitetaan niiden aineiden ja tarvikkeiden sekä ostettujen puolivalmisteiden hankintahintaa, jotka yritys käyttää valmistamiinsa tuotteisiin tai jotka se myy sellaisenaan.</t>
        </r>
      </text>
    </comment>
    <comment ref="F15" authorId="0" shapeId="0" xr:uid="{1D11B27B-3CAC-4462-971F-660A4C108278}">
      <text>
        <r>
          <rPr>
            <b/>
            <sz val="9"/>
            <color indexed="81"/>
            <rFont val="Tahoma"/>
            <family val="2"/>
          </rPr>
          <t>Laaksonen Aki:</t>
        </r>
        <r>
          <rPr>
            <sz val="9"/>
            <color indexed="81"/>
            <rFont val="Tahoma"/>
            <family val="2"/>
          </rPr>
          <t xml:space="preserve">
Kirjoita etumerkki miinukseksi.
Luvut kokonaislukuna ilman senttejä.</t>
        </r>
      </text>
    </comment>
    <comment ref="H15" authorId="0" shapeId="0" xr:uid="{AB33642C-2AC5-4323-812B-66E6DE276B44}">
      <text>
        <r>
          <rPr>
            <b/>
            <sz val="9"/>
            <color indexed="81"/>
            <rFont val="Tahoma"/>
            <family val="2"/>
          </rPr>
          <t>Laaksonen Aki:</t>
        </r>
        <r>
          <rPr>
            <sz val="9"/>
            <color indexed="81"/>
            <rFont val="Tahoma"/>
            <family val="2"/>
          </rPr>
          <t xml:space="preserve">
Kirjoita etumerkki miinukseksi.
Luvut kokonaislukuna ilman senttejä.</t>
        </r>
      </text>
    </comment>
    <comment ref="J15" authorId="0" shapeId="0" xr:uid="{CE9906B2-48A8-4DBC-9423-2338706D1626}">
      <text>
        <r>
          <rPr>
            <b/>
            <sz val="9"/>
            <color indexed="81"/>
            <rFont val="Tahoma"/>
            <family val="2"/>
          </rPr>
          <t>Laaksonen Aki:</t>
        </r>
        <r>
          <rPr>
            <sz val="9"/>
            <color indexed="81"/>
            <rFont val="Tahoma"/>
            <family val="2"/>
          </rPr>
          <t xml:space="preserve">
</t>
        </r>
        <r>
          <rPr>
            <b/>
            <u/>
            <sz val="9"/>
            <color indexed="81"/>
            <rFont val="Tahoma"/>
            <family val="2"/>
          </rPr>
          <t xml:space="preserve">
Aineet, tarvikkeet ja tavarat, ostot:</t>
        </r>
        <r>
          <rPr>
            <sz val="9"/>
            <color indexed="81"/>
            <rFont val="Tahoma"/>
            <family val="2"/>
          </rPr>
          <t xml:space="preserve">
Tuote/palvelukohtaiset raaka-aine ja tarvikeostot sijoitetaan taulukkoon 6 LIIKEVAIHTO.
-&gt; Ainekäytön/hankintojen prosenttiosuus myynnistä</t>
        </r>
      </text>
    </comment>
    <comment ref="D16" authorId="0" shapeId="0" xr:uid="{D53A956C-E4A2-4B03-9559-9058E7CD3FD9}">
      <text>
        <r>
          <rPr>
            <b/>
            <sz val="9"/>
            <color indexed="81"/>
            <rFont val="Tahoma"/>
            <family val="2"/>
          </rPr>
          <t>Laaksonen Aki:</t>
        </r>
        <r>
          <rPr>
            <sz val="9"/>
            <color indexed="81"/>
            <rFont val="Tahoma"/>
            <family val="2"/>
          </rPr>
          <t xml:space="preserve">
</t>
        </r>
        <r>
          <rPr>
            <b/>
            <u/>
            <sz val="9"/>
            <color indexed="81"/>
            <rFont val="Tahoma"/>
            <family val="2"/>
          </rPr>
          <t>Ulkopuoliset palvelut:</t>
        </r>
        <r>
          <rPr>
            <sz val="9"/>
            <color indexed="81"/>
            <rFont val="Tahoma"/>
            <family val="2"/>
          </rPr>
          <t xml:space="preserve">
Ulkopuoliset palvelut ovat lähinnä työsuorituksista maksettuja korvauksia.
Ulkopuoliset palvelut -erään sisällytetään palvelupitoiset ostot, kuten alihankinnat ja työvoiman vuokrausmenot.
Ulkopuoliset palvelut ovat välittömästi tuotantoon tai myyntiin liittyvistä työsuorituksista maksettuja korvauksia.</t>
        </r>
      </text>
    </comment>
    <comment ref="F16" authorId="0" shapeId="0" xr:uid="{904CD79A-5640-40DD-B131-44AA1D191EB9}">
      <text>
        <r>
          <rPr>
            <b/>
            <sz val="9"/>
            <color indexed="81"/>
            <rFont val="Tahoma"/>
            <family val="2"/>
          </rPr>
          <t>Laaksonen Aki:</t>
        </r>
        <r>
          <rPr>
            <sz val="9"/>
            <color indexed="81"/>
            <rFont val="Tahoma"/>
            <family val="2"/>
          </rPr>
          <t xml:space="preserve">
Kirjoita etumerkki miinukseksi.
Luvut kokonaislukuna ilman senttejä.</t>
        </r>
      </text>
    </comment>
    <comment ref="H16" authorId="0" shapeId="0" xr:uid="{9F352E50-1DE2-4702-9782-6059F87E34E1}">
      <text>
        <r>
          <rPr>
            <b/>
            <sz val="9"/>
            <color indexed="81"/>
            <rFont val="Tahoma"/>
            <family val="2"/>
          </rPr>
          <t>Laaksonen Aki:</t>
        </r>
        <r>
          <rPr>
            <sz val="9"/>
            <color indexed="81"/>
            <rFont val="Tahoma"/>
            <family val="2"/>
          </rPr>
          <t xml:space="preserve">
Kirjoita etumerkki miinukseksi.
Luvut kokonaislukuna ilman senttejä.</t>
        </r>
      </text>
    </comment>
    <comment ref="K16" authorId="0" shapeId="0" xr:uid="{D6D5B23C-46DC-4D79-BA23-DD7909A7B74D}">
      <text>
        <r>
          <rPr>
            <b/>
            <sz val="9"/>
            <color indexed="81"/>
            <rFont val="Tahoma"/>
            <family val="2"/>
          </rPr>
          <t>Laaksonen Aki:</t>
        </r>
        <r>
          <rPr>
            <sz val="9"/>
            <color indexed="81"/>
            <rFont val="Tahoma"/>
            <family val="2"/>
          </rPr>
          <t xml:space="preserve">
Paljonko ulkopuolisiin palveluihin, esim. alihankintaan menee prosentteina liikevaihdosta.</t>
        </r>
      </text>
    </comment>
    <comment ref="M16" authorId="0" shapeId="0" xr:uid="{8231BCF6-1FAA-473F-A253-91D80D03C02F}">
      <text>
        <r>
          <rPr>
            <b/>
            <sz val="9"/>
            <color indexed="81"/>
            <rFont val="Tahoma"/>
            <family val="2"/>
          </rPr>
          <t>Laaksonen Aki:</t>
        </r>
        <r>
          <rPr>
            <sz val="9"/>
            <color indexed="81"/>
            <rFont val="Tahoma"/>
            <family val="2"/>
          </rPr>
          <t xml:space="preserve">
Paljonko ulkopuolisiin palveluihin, esim. alihankintaan menee prosentteina liikevaihdosta.</t>
        </r>
      </text>
    </comment>
    <comment ref="O16" authorId="0" shapeId="0" xr:uid="{F7DAEF46-9669-467A-8BA2-1313D7AFF410}">
      <text>
        <r>
          <rPr>
            <b/>
            <sz val="9"/>
            <color indexed="81"/>
            <rFont val="Tahoma"/>
            <family val="2"/>
          </rPr>
          <t>Laaksonen Aki:</t>
        </r>
        <r>
          <rPr>
            <sz val="9"/>
            <color indexed="81"/>
            <rFont val="Tahoma"/>
            <family val="2"/>
          </rPr>
          <t xml:space="preserve">
Paljonko ulkopuolisiin palveluihin, esim. alihankintaan menee prosentteina liikevaihdosta.</t>
        </r>
      </text>
    </comment>
    <comment ref="Q16" authorId="0" shapeId="0" xr:uid="{08FE96C9-96FF-4C18-AF5C-187ED1FCB0CF}">
      <text>
        <r>
          <rPr>
            <b/>
            <sz val="9"/>
            <color indexed="81"/>
            <rFont val="Tahoma"/>
            <family val="2"/>
          </rPr>
          <t>Laaksonen Aki:</t>
        </r>
        <r>
          <rPr>
            <sz val="9"/>
            <color indexed="81"/>
            <rFont val="Tahoma"/>
            <family val="2"/>
          </rPr>
          <t xml:space="preserve">
Paljonko ulkopuolisiin palveluihin, esim. alihankintaan menee prosentteina liikevaihdosta.</t>
        </r>
      </text>
    </comment>
    <comment ref="D17" authorId="0" shapeId="0" xr:uid="{485E54CA-BEB5-44CF-A705-0A5CB4BEB32A}">
      <text>
        <r>
          <rPr>
            <b/>
            <sz val="9"/>
            <color indexed="81"/>
            <rFont val="Tahoma"/>
            <family val="2"/>
          </rPr>
          <t>Laaksonen Aki:</t>
        </r>
        <r>
          <rPr>
            <sz val="9"/>
            <color indexed="81"/>
            <rFont val="Tahoma"/>
            <family val="2"/>
          </rPr>
          <t xml:space="preserve">
</t>
        </r>
        <r>
          <rPr>
            <b/>
            <u/>
            <sz val="9"/>
            <color indexed="81"/>
            <rFont val="Tahoma"/>
            <family val="2"/>
          </rPr>
          <t>Henkilöstökulut:</t>
        </r>
        <r>
          <rPr>
            <sz val="9"/>
            <color indexed="81"/>
            <rFont val="Tahoma"/>
            <family val="2"/>
          </rPr>
          <t xml:space="preserve">
Henkilöstökulut sisältävät ennakonpidätyksen alaiset palkat ja niihin verrattavat kulut sekä välittömästi palkan perusteella määräytyvät kulut, kuten sosiaaliturvamaksut, pakolliset ja vapaaehtoiset henkilövakuutusmaksut sekä eläkekulut.
Muut vapaaehtoiset henkilöstökulut ovat liiketoiminnan muita kuluja.</t>
        </r>
      </text>
    </comment>
    <comment ref="F17" authorId="0" shapeId="0" xr:uid="{08C837D2-3F7E-4379-A454-5FFB775E29AF}">
      <text>
        <r>
          <rPr>
            <b/>
            <sz val="9"/>
            <color indexed="81"/>
            <rFont val="Tahoma"/>
            <family val="2"/>
          </rPr>
          <t>Laaksonen Aki:</t>
        </r>
        <r>
          <rPr>
            <sz val="9"/>
            <color indexed="81"/>
            <rFont val="Tahoma"/>
            <family val="2"/>
          </rPr>
          <t xml:space="preserve">
Kirjoita etumerkki miinukseksi.
Luvut kokonaislukuna ilman senttejä.</t>
        </r>
      </text>
    </comment>
    <comment ref="H17" authorId="0" shapeId="0" xr:uid="{35CFF481-DE94-4EF2-AE5E-06A269C3D4D9}">
      <text>
        <r>
          <rPr>
            <b/>
            <sz val="9"/>
            <color indexed="81"/>
            <rFont val="Tahoma"/>
            <family val="2"/>
          </rPr>
          <t>Laaksonen Aki:</t>
        </r>
        <r>
          <rPr>
            <sz val="9"/>
            <color indexed="81"/>
            <rFont val="Tahoma"/>
            <family val="2"/>
          </rPr>
          <t xml:space="preserve">
Kirjoita etumerkki miinukseksi.
Luvut kokonaislukuna ilman senttejä.</t>
        </r>
      </text>
    </comment>
    <comment ref="J17" authorId="0" shapeId="0" xr:uid="{EDF527E0-AC6B-473F-A5C4-B38E5154B533}">
      <text>
        <r>
          <rPr>
            <b/>
            <sz val="9"/>
            <color indexed="81"/>
            <rFont val="Tahoma"/>
            <family val="2"/>
          </rPr>
          <t>Laaksonen Aki:</t>
        </r>
        <r>
          <rPr>
            <sz val="9"/>
            <color indexed="81"/>
            <rFont val="Tahoma"/>
            <family val="2"/>
          </rPr>
          <t xml:space="preserve">
</t>
        </r>
        <r>
          <rPr>
            <b/>
            <u/>
            <sz val="9"/>
            <color indexed="81"/>
            <rFont val="Tahoma"/>
            <family val="2"/>
          </rPr>
          <t>Henkilöstökulut:</t>
        </r>
        <r>
          <rPr>
            <sz val="9"/>
            <color indexed="81"/>
            <rFont val="Tahoma"/>
            <family val="2"/>
          </rPr>
          <t xml:space="preserve">
</t>
        </r>
        <r>
          <rPr>
            <b/>
            <sz val="9"/>
            <color indexed="81"/>
            <rFont val="Tahoma"/>
            <family val="2"/>
          </rPr>
          <t>Sisältää myös lomapalkan sivukuluineen!</t>
        </r>
        <r>
          <rPr>
            <sz val="9"/>
            <color indexed="81"/>
            <rFont val="Tahoma"/>
            <family val="2"/>
          </rPr>
          <t xml:space="preserve"> Mikäli lomapalkkoja ei makseta, voit poistaa ne taulukossa 3 TASE -&gt; 5. Siirtovelat -&gt; Lomapalkkavelat.
Kirjanpidossa henkilöstökuluihin on lisättävä työntekijän ansaitsemat laskennalliset lomarahat, jonka vuoksi solun luku on suurempi kuin henkilöstökulut taulukossa 5 KUSTANNUKSET.</t>
        </r>
      </text>
    </comment>
    <comment ref="D18" authorId="0" shapeId="0" xr:uid="{AF5B0B59-5FD8-4469-9F7D-FCB833094D07}">
      <text>
        <r>
          <rPr>
            <b/>
            <sz val="9"/>
            <color indexed="81"/>
            <rFont val="Tahoma"/>
            <family val="2"/>
          </rPr>
          <t>Laaksonen Aki:</t>
        </r>
        <r>
          <rPr>
            <sz val="9"/>
            <color indexed="81"/>
            <rFont val="Tahoma"/>
            <family val="2"/>
          </rPr>
          <t xml:space="preserve">
</t>
        </r>
        <r>
          <rPr>
            <b/>
            <u/>
            <sz val="9"/>
            <color indexed="81"/>
            <rFont val="Tahoma"/>
            <family val="2"/>
          </rPr>
          <t>Liiketoiminnan muut kulut:</t>
        </r>
        <r>
          <rPr>
            <sz val="9"/>
            <color indexed="81"/>
            <rFont val="Tahoma"/>
            <family val="2"/>
          </rPr>
          <t xml:space="preserve">
Liiketoiminnan muihin kuluihin kuuluvat mm. vuokrat, leasing-vuokrat, markkinointi-, hallinto- sekä kehitys- ja tietohallintokulut.
Liiketoiminnan muita kuluja ovat myös mm. aikaisemmin suoraan myyntituotoista vähennetyt erät, kuten myyntiprovisiot, tekijänpalkkiot, rahtikulut ja syntyneet luottotappiot.</t>
        </r>
      </text>
    </comment>
    <comment ref="F18" authorId="0" shapeId="0" xr:uid="{E966DE0D-A9D8-45D3-9378-D86F6D355E34}">
      <text>
        <r>
          <rPr>
            <b/>
            <sz val="9"/>
            <color indexed="81"/>
            <rFont val="Tahoma"/>
            <family val="2"/>
          </rPr>
          <t>Laaksonen Aki:</t>
        </r>
        <r>
          <rPr>
            <sz val="9"/>
            <color indexed="81"/>
            <rFont val="Tahoma"/>
            <family val="2"/>
          </rPr>
          <t xml:space="preserve">
Kirjoita etumerkki miinukseksi.
Luvut kokonaislukuna ilman senttejä.</t>
        </r>
      </text>
    </comment>
    <comment ref="H18" authorId="0" shapeId="0" xr:uid="{BD2E66EE-6823-403E-9A89-BD533601E0D0}">
      <text>
        <r>
          <rPr>
            <b/>
            <sz val="9"/>
            <color indexed="81"/>
            <rFont val="Tahoma"/>
            <family val="2"/>
          </rPr>
          <t>Laaksonen Aki:</t>
        </r>
        <r>
          <rPr>
            <sz val="9"/>
            <color indexed="81"/>
            <rFont val="Tahoma"/>
            <family val="2"/>
          </rPr>
          <t xml:space="preserve">
Kirjoita etumerkki miinukseksi.
Luvut kokonaislukuna ilman senttejä.</t>
        </r>
      </text>
    </comment>
    <comment ref="D19" authorId="0" shapeId="0" xr:uid="{975B1292-3C99-4E66-BA57-A7FF2BFCA3C7}">
      <text>
        <r>
          <rPr>
            <b/>
            <sz val="9"/>
            <color indexed="81"/>
            <rFont val="Tahoma"/>
            <family val="2"/>
          </rPr>
          <t>Laaksonen Aki:</t>
        </r>
        <r>
          <rPr>
            <sz val="9"/>
            <color indexed="81"/>
            <rFont val="Tahoma"/>
            <family val="2"/>
          </rPr>
          <t xml:space="preserve">
</t>
        </r>
        <r>
          <rPr>
            <b/>
            <u/>
            <sz val="9"/>
            <color indexed="81"/>
            <rFont val="Tahoma"/>
            <family val="2"/>
          </rPr>
          <t>Vaihto-omaisuuden lisäys/vähennys:</t>
        </r>
        <r>
          <rPr>
            <sz val="9"/>
            <color indexed="81"/>
            <rFont val="Tahoma"/>
            <family val="2"/>
          </rPr>
          <t xml:space="preserve">
Varastojen muutos mitataan varastojen lisäysten arvon ja varastojen vähennysten ja tavanomaisen varastossa pidettyjen tavaroiden hävikin erotuksella.
Varastot voivat koostua raaka-aineista ja puolivalmisteista, keskeneräisistä töistä, valmiista ja jälleenmyytävistä tavaroista.
a) Varaston lisäys (+) parantaa tulosta.
b) Varaston vähennys (-) heikentää tulosta.
(taulukko 3 TASE, rivi 36)</t>
        </r>
      </text>
    </comment>
    <comment ref="D21" authorId="0" shapeId="0" xr:uid="{352AD249-0C6B-4256-8C5F-B3395B4764FB}">
      <text>
        <r>
          <rPr>
            <b/>
            <sz val="9"/>
            <color indexed="81"/>
            <rFont val="Tahoma"/>
            <family val="2"/>
          </rPr>
          <t>Laaksonen Aki:</t>
        </r>
        <r>
          <rPr>
            <sz val="9"/>
            <color indexed="81"/>
            <rFont val="Tahoma"/>
            <family val="2"/>
          </rPr>
          <t xml:space="preserve">
</t>
        </r>
        <r>
          <rPr>
            <b/>
            <u/>
            <sz val="9"/>
            <color indexed="81"/>
            <rFont val="Tahoma"/>
            <family val="2"/>
          </rPr>
          <t xml:space="preserve">
Suunnitelman mukaiset poistot:</t>
        </r>
        <r>
          <rPr>
            <sz val="9"/>
            <color indexed="81"/>
            <rFont val="Tahoma"/>
            <family val="2"/>
          </rPr>
          <t xml:space="preserve">
Suunnitelman mukaiset poistot perustuvat käyttöomaisuuden hankintamenoon ja taloudelliseen käyttöikään.</t>
        </r>
      </text>
    </comment>
    <comment ref="F21" authorId="0" shapeId="0" xr:uid="{0FC308E8-87D2-4D12-9FC0-C4911BF50470}">
      <text>
        <r>
          <rPr>
            <b/>
            <sz val="9"/>
            <color indexed="81"/>
            <rFont val="Tahoma"/>
            <family val="2"/>
          </rPr>
          <t>Laaksonen Aki:</t>
        </r>
        <r>
          <rPr>
            <sz val="9"/>
            <color indexed="81"/>
            <rFont val="Tahoma"/>
            <family val="2"/>
          </rPr>
          <t xml:space="preserve">
Kirjoita etumerkki miinukseksi.
Luvut kokonaislukuna ilman senttejä.
</t>
        </r>
        <r>
          <rPr>
            <b/>
            <sz val="9"/>
            <color indexed="81"/>
            <rFont val="Tahoma"/>
            <family val="2"/>
          </rPr>
          <t xml:space="preserve">Huom! Jos poistot ovat pienemmät kuin lainojen lyhennykset, maksaa yritys veroa lainanlyhennyksestään! </t>
        </r>
      </text>
    </comment>
    <comment ref="H21" authorId="0" shapeId="0" xr:uid="{2E2A1F1E-1775-4FF7-A0D9-72069F05A10E}">
      <text>
        <r>
          <rPr>
            <b/>
            <sz val="9"/>
            <color indexed="81"/>
            <rFont val="Tahoma"/>
            <family val="2"/>
          </rPr>
          <t>Laaksonen Aki:</t>
        </r>
        <r>
          <rPr>
            <sz val="9"/>
            <color indexed="81"/>
            <rFont val="Tahoma"/>
            <family val="2"/>
          </rPr>
          <t xml:space="preserve">
Kirjoita etumerkki miinukseksi.
Luvut kokonaislukuna ilman senttejä.
</t>
        </r>
        <r>
          <rPr>
            <b/>
            <sz val="9"/>
            <color indexed="81"/>
            <rFont val="Tahoma"/>
            <family val="2"/>
          </rPr>
          <t xml:space="preserve">Huom! Jos poistot ovat pienemmät kuin lainojen lyhennykset, maksaa yritys veroa lainanlyhennyksestään! </t>
        </r>
      </text>
    </comment>
    <comment ref="D23" authorId="0" shapeId="0" xr:uid="{70A25B5A-C060-497F-9F0B-DEAAF66A4A2F}">
      <text>
        <r>
          <rPr>
            <b/>
            <sz val="9"/>
            <color indexed="81"/>
            <rFont val="Tahoma"/>
            <family val="2"/>
          </rPr>
          <t>Laaksonen Aki:</t>
        </r>
        <r>
          <rPr>
            <sz val="9"/>
            <color indexed="81"/>
            <rFont val="Tahoma"/>
            <family val="2"/>
          </rPr>
          <t xml:space="preserve">
</t>
        </r>
        <r>
          <rPr>
            <b/>
            <u/>
            <sz val="9"/>
            <color indexed="81"/>
            <rFont val="Tahoma"/>
            <family val="2"/>
          </rPr>
          <t>Tuotot osuuksista ja muista sijoituksista:</t>
        </r>
        <r>
          <rPr>
            <sz val="9"/>
            <color indexed="81"/>
            <rFont val="Tahoma"/>
            <family val="2"/>
          </rPr>
          <t xml:space="preserve">
Tähän ryhmään sisältyvät virallisen tuloslaskelman erät tuotot osuuksista ja saman konsernin yrityksissä, tuotot osuuksista omistusyhteysyrityksissä sekä tuotot muista pysyvien vastaavien sijoituksista.</t>
        </r>
      </text>
    </comment>
    <comment ref="D24" authorId="0" shapeId="0" xr:uid="{18803E8E-DF85-4CFB-9790-FF1272F288F4}">
      <text>
        <r>
          <rPr>
            <b/>
            <sz val="9"/>
            <color indexed="81"/>
            <rFont val="Tahoma"/>
            <family val="2"/>
          </rPr>
          <t>Laaksonen Aki:</t>
        </r>
        <r>
          <rPr>
            <sz val="9"/>
            <color indexed="81"/>
            <rFont val="Tahoma"/>
            <family val="2"/>
          </rPr>
          <t xml:space="preserve">
</t>
        </r>
        <r>
          <rPr>
            <b/>
            <u/>
            <sz val="9"/>
            <color indexed="81"/>
            <rFont val="Tahoma"/>
            <family val="2"/>
          </rPr>
          <t>Korko- ja rahoitustuotot:</t>
        </r>
        <r>
          <rPr>
            <sz val="9"/>
            <color indexed="81"/>
            <rFont val="Tahoma"/>
            <family val="2"/>
          </rPr>
          <t xml:space="preserve">
Muihin korko- ja rahoitustuottoihin sisältyvät kaikki lyhytaikaisista sijoituksista saatavat korko- ja muut tuotot sekä niistä johtuvat kurssierot.</t>
        </r>
      </text>
    </comment>
    <comment ref="D25" authorId="0" shapeId="0" xr:uid="{006EED77-8401-4F89-92CC-7585D3D18C13}">
      <text>
        <r>
          <rPr>
            <b/>
            <sz val="9"/>
            <color indexed="81"/>
            <rFont val="Tahoma"/>
            <family val="2"/>
          </rPr>
          <t>Laaksonen Aki:</t>
        </r>
        <r>
          <rPr>
            <sz val="9"/>
            <color indexed="81"/>
            <rFont val="Tahoma"/>
            <family val="2"/>
          </rPr>
          <t xml:space="preserve">
</t>
        </r>
        <r>
          <rPr>
            <b/>
            <u/>
            <sz val="9"/>
            <color indexed="81"/>
            <rFont val="Tahoma"/>
            <family val="2"/>
          </rPr>
          <t>Korko- ja rahoituskulut:</t>
        </r>
        <r>
          <rPr>
            <sz val="9"/>
            <color indexed="81"/>
            <rFont val="Tahoma"/>
            <family val="2"/>
          </rPr>
          <t xml:space="preserve">
Korkokulut ovat raha-, luotto- ja vakuuslaitoksille tai muille luotonantajille maksettuja, ajan kulumisen mukaan laskettuja vieraan pääoman kuluja.
Myös kurssitappiot voivat sisältyä tähän erään.</t>
        </r>
      </text>
    </comment>
    <comment ref="F25" authorId="0" shapeId="0" xr:uid="{688D2477-2ADE-4424-A127-26C256797CC3}">
      <text>
        <r>
          <rPr>
            <b/>
            <sz val="9"/>
            <color indexed="81"/>
            <rFont val="Tahoma"/>
            <family val="2"/>
          </rPr>
          <t>Laaksonen Aki:</t>
        </r>
        <r>
          <rPr>
            <sz val="9"/>
            <color indexed="81"/>
            <rFont val="Tahoma"/>
            <family val="2"/>
          </rPr>
          <t xml:space="preserve">
Kirjoita etumerkki miinukseksi.
Luvut kokonaislukuna ilman senttejä.</t>
        </r>
      </text>
    </comment>
    <comment ref="H25" authorId="0" shapeId="0" xr:uid="{B7175070-FF4E-438D-9D4B-A0E6C28E9044}">
      <text>
        <r>
          <rPr>
            <b/>
            <sz val="9"/>
            <color indexed="81"/>
            <rFont val="Tahoma"/>
            <family val="2"/>
          </rPr>
          <t>Laaksonen Aki:</t>
        </r>
        <r>
          <rPr>
            <sz val="9"/>
            <color indexed="81"/>
            <rFont val="Tahoma"/>
            <family val="2"/>
          </rPr>
          <t xml:space="preserve">
Kirjoita etumerkki miinukseksi.
Luvut kokonaislukuna ilman senttejä.</t>
        </r>
      </text>
    </comment>
    <comment ref="J27" authorId="0" shapeId="0" xr:uid="{4499FAC9-B9A6-4107-9509-8C0182F6EE37}">
      <text>
        <r>
          <rPr>
            <b/>
            <sz val="9"/>
            <color indexed="81"/>
            <rFont val="Tahoma"/>
            <family val="2"/>
          </rPr>
          <t>Laaksonen Aki:</t>
        </r>
        <r>
          <rPr>
            <sz val="9"/>
            <color indexed="81"/>
            <rFont val="Tahoma"/>
            <family val="2"/>
          </rPr>
          <t xml:space="preserve">
</t>
        </r>
        <r>
          <rPr>
            <b/>
            <u/>
            <sz val="9"/>
            <color indexed="81"/>
            <rFont val="Tahoma"/>
            <family val="2"/>
          </rPr>
          <t>Tuloverot:</t>
        </r>
        <r>
          <rPr>
            <sz val="9"/>
            <color indexed="81"/>
            <rFont val="Tahoma"/>
            <family val="2"/>
          </rPr>
          <t xml:space="preserve">
Kaava laskee verot </t>
        </r>
        <r>
          <rPr>
            <b/>
            <sz val="9"/>
            <color indexed="81"/>
            <rFont val="Tahoma"/>
            <family val="2"/>
          </rPr>
          <t>alla olevan veroprosentin</t>
        </r>
        <r>
          <rPr>
            <sz val="9"/>
            <color indexed="81"/>
            <rFont val="Tahoma"/>
            <family val="2"/>
          </rPr>
          <t xml:space="preserve"> mukaan huomioiden edustusmenojen 50 %:n verovähennyksen. Henkilöyhtiöissä voidaan nollata. Edellisen vuoden tappiot voit vähentää itse.
</t>
        </r>
        <r>
          <rPr>
            <b/>
            <sz val="9"/>
            <color indexed="81"/>
            <rFont val="Tahoma"/>
            <family val="2"/>
          </rPr>
          <t>Osakkeita tai kiinteistöä myytäessä</t>
        </r>
        <r>
          <rPr>
            <sz val="9"/>
            <color indexed="81"/>
            <rFont val="Tahoma"/>
            <family val="2"/>
          </rPr>
          <t xml:space="preserve"> ota huomioon luovutusvoiton vero ja hankintameno-olettama.</t>
        </r>
      </text>
    </comment>
    <comment ref="J28" authorId="0" shapeId="0" xr:uid="{2B933504-E04F-4F7A-A353-EFF1F4728609}">
      <text>
        <r>
          <rPr>
            <b/>
            <sz val="9"/>
            <color indexed="81"/>
            <rFont val="Tahoma"/>
            <family val="2"/>
          </rPr>
          <t>Laaksonen Aki:</t>
        </r>
        <r>
          <rPr>
            <sz val="9"/>
            <color indexed="81"/>
            <rFont val="Tahoma"/>
            <family val="2"/>
          </rPr>
          <t xml:space="preserve">
</t>
        </r>
        <r>
          <rPr>
            <u/>
            <sz val="9"/>
            <color indexed="81"/>
            <rFont val="Tahoma"/>
            <family val="2"/>
          </rPr>
          <t>Tuloveroprosentti</t>
        </r>
        <r>
          <rPr>
            <sz val="9"/>
            <color indexed="81"/>
            <rFont val="Tahoma"/>
            <family val="2"/>
          </rPr>
          <t xml:space="preserve">
Osakeyhtiön ja osuuskunnan tulovero on 20 %. 
Jos nollataan, on kohta 20 TILIKAUDEN VOITTO/TAPPIO verotettavan tulon määrä.</t>
        </r>
      </text>
    </comment>
    <comment ref="L28" authorId="0" shapeId="0" xr:uid="{6080F771-393B-4887-95A0-D11F02907CC8}">
      <text>
        <r>
          <rPr>
            <b/>
            <sz val="9"/>
            <color indexed="81"/>
            <rFont val="Tahoma"/>
            <family val="2"/>
          </rPr>
          <t>Laaksonen Aki:</t>
        </r>
        <r>
          <rPr>
            <sz val="9"/>
            <color indexed="81"/>
            <rFont val="Tahoma"/>
            <family val="2"/>
          </rPr>
          <t xml:space="preserve">
</t>
        </r>
        <r>
          <rPr>
            <u/>
            <sz val="9"/>
            <color indexed="81"/>
            <rFont val="Tahoma"/>
            <family val="2"/>
          </rPr>
          <t>Tuloveroprosentti</t>
        </r>
        <r>
          <rPr>
            <sz val="9"/>
            <color indexed="81"/>
            <rFont val="Tahoma"/>
            <family val="2"/>
          </rPr>
          <t xml:space="preserve">
Osakeyhtiön ja osuuskunnan tulovero on 20 %. 
Jos nollataan, on kohta 20 TILIKAUDEN VOITTO/TAPPIO verotettavan tulon määrä.</t>
        </r>
      </text>
    </comment>
    <comment ref="N28" authorId="0" shapeId="0" xr:uid="{548382F2-191B-4B34-84FA-98AA57D6AE8A}">
      <text>
        <r>
          <rPr>
            <b/>
            <sz val="9"/>
            <color indexed="81"/>
            <rFont val="Tahoma"/>
            <family val="2"/>
          </rPr>
          <t>Laaksonen Aki:</t>
        </r>
        <r>
          <rPr>
            <sz val="9"/>
            <color indexed="81"/>
            <rFont val="Tahoma"/>
            <family val="2"/>
          </rPr>
          <t xml:space="preserve">
</t>
        </r>
        <r>
          <rPr>
            <u/>
            <sz val="9"/>
            <color indexed="81"/>
            <rFont val="Tahoma"/>
            <family val="2"/>
          </rPr>
          <t>Tuloveroprosentti</t>
        </r>
        <r>
          <rPr>
            <sz val="9"/>
            <color indexed="81"/>
            <rFont val="Tahoma"/>
            <family val="2"/>
          </rPr>
          <t xml:space="preserve">
Osakeyhtiön ja osuuskunnan tulovero on 20 %. 
Jos nollataan, on kohta 20 TILIKAUDEN VOITTO/TAPPIO verotettavan tulon määrä.</t>
        </r>
      </text>
    </comment>
    <comment ref="P28" authorId="0" shapeId="0" xr:uid="{44C9FB43-C7B2-4126-B27A-2387B8249936}">
      <text>
        <r>
          <rPr>
            <b/>
            <sz val="9"/>
            <color indexed="81"/>
            <rFont val="Tahoma"/>
            <family val="2"/>
          </rPr>
          <t>Laaksonen Aki:</t>
        </r>
        <r>
          <rPr>
            <sz val="9"/>
            <color indexed="81"/>
            <rFont val="Tahoma"/>
            <family val="2"/>
          </rPr>
          <t xml:space="preserve">
</t>
        </r>
        <r>
          <rPr>
            <u/>
            <sz val="9"/>
            <color indexed="81"/>
            <rFont val="Tahoma"/>
            <family val="2"/>
          </rPr>
          <t>Tuloveroprosentti</t>
        </r>
        <r>
          <rPr>
            <sz val="9"/>
            <color indexed="81"/>
            <rFont val="Tahoma"/>
            <family val="2"/>
          </rPr>
          <t xml:space="preserve">
Osakeyhtiön ja osuuskunnan tulovero on 20 %. 
Jos nollataan, on kohta 20 TILIKAUDEN VOITTO/TAPPIO verotettavan tulon määrä.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E2762151-254F-4556-96D3-921895FF99E6}">
      <text>
        <r>
          <rPr>
            <b/>
            <sz val="9"/>
            <color indexed="81"/>
            <rFont val="Tahoma"/>
            <family val="2"/>
          </rPr>
          <t>Laaksonen Aki:</t>
        </r>
        <r>
          <rPr>
            <sz val="9"/>
            <color indexed="81"/>
            <rFont val="Tahoma"/>
            <family val="2"/>
          </rPr>
          <t xml:space="preserve">
</t>
        </r>
        <r>
          <rPr>
            <b/>
            <u/>
            <sz val="9"/>
            <color indexed="81"/>
            <rFont val="Tahoma"/>
            <family val="2"/>
          </rPr>
          <t>Tase:</t>
        </r>
        <r>
          <rPr>
            <sz val="9"/>
            <color indexed="81"/>
            <rFont val="Tahoma"/>
            <family val="2"/>
          </rPr>
          <t xml:space="preserve">
</t>
        </r>
        <r>
          <rPr>
            <b/>
            <sz val="9"/>
            <color indexed="81"/>
            <rFont val="Tahoma"/>
            <family val="2"/>
          </rPr>
          <t>1. KIRJOITA RAHASUMMAT ILMAN SENTTEJÄ KOKONAISLUKUINA!</t>
        </r>
        <r>
          <rPr>
            <sz val="9"/>
            <color indexed="81"/>
            <rFont val="Tahoma"/>
            <family val="2"/>
          </rPr>
          <t xml:space="preserve">
2. Täytä ensimmäisellä kerralla (vaihe 3) vain toteutuneet tilikaudet.
3. Tarkista erityisesti solujen I83, I86 ja I92 prosenttiluvut!
4. Lisää lyhytaikaiset rahalaitoslainat soluihin G75 - L75.
5. </t>
        </r>
        <r>
          <rPr>
            <b/>
            <sz val="9"/>
            <color indexed="81"/>
            <rFont val="Tahoma"/>
            <family val="2"/>
          </rPr>
          <t>Tärkeää!</t>
        </r>
        <r>
          <rPr>
            <sz val="9"/>
            <color indexed="81"/>
            <rFont val="Tahoma"/>
            <family val="2"/>
          </rPr>
          <t xml:space="preserve"> Lisää toteutuneiden kausien tilinpäätöksistä "Taseen liitetiedot" luvut kohtaan "G.4 Muut lyhytaikaiset velat"</t>
        </r>
      </text>
    </comment>
    <comment ref="G11" authorId="0" shapeId="0" xr:uid="{5F7CB286-B035-4B9C-A249-C87281EAF05E}">
      <text>
        <r>
          <rPr>
            <b/>
            <sz val="9"/>
            <color indexed="81"/>
            <rFont val="Tahoma"/>
            <family val="2"/>
          </rPr>
          <t>Laaksonen Aki:</t>
        </r>
        <r>
          <rPr>
            <sz val="9"/>
            <color indexed="81"/>
            <rFont val="Tahoma"/>
            <family val="2"/>
          </rPr>
          <t xml:space="preserve">
Kirjoita kokonaislukuna ilman senttejä.</t>
        </r>
      </text>
    </comment>
    <comment ref="H11" authorId="0" shapeId="0" xr:uid="{70443A53-A567-4BB6-93B0-F4EF0D231DA2}">
      <text>
        <r>
          <rPr>
            <b/>
            <sz val="9"/>
            <color indexed="81"/>
            <rFont val="Tahoma"/>
            <family val="2"/>
          </rPr>
          <t>Laaksonen Aki:</t>
        </r>
        <r>
          <rPr>
            <sz val="9"/>
            <color indexed="81"/>
            <rFont val="Tahoma"/>
            <family val="2"/>
          </rPr>
          <t xml:space="preserve">
Kirjoita kokonaislukuna ilman senttejä.</t>
        </r>
      </text>
    </comment>
    <comment ref="I12" authorId="0" shapeId="0" xr:uid="{6F1E1B14-F0C8-439A-94A2-295A6D88FACD}">
      <text>
        <r>
          <rPr>
            <b/>
            <sz val="9"/>
            <color indexed="81"/>
            <rFont val="Tahoma"/>
            <family val="2"/>
          </rPr>
          <t>Laaksonen Aki:</t>
        </r>
        <r>
          <rPr>
            <sz val="9"/>
            <color indexed="81"/>
            <rFont val="Tahoma"/>
            <family val="2"/>
          </rPr>
          <t xml:space="preserve">
</t>
        </r>
        <r>
          <rPr>
            <u/>
            <sz val="9"/>
            <color indexed="81"/>
            <rFont val="Tahoma"/>
            <family val="2"/>
          </rPr>
          <t>Lisäykset tilikaudella:</t>
        </r>
        <r>
          <rPr>
            <sz val="9"/>
            <color indexed="81"/>
            <rFont val="Tahoma"/>
            <family val="2"/>
          </rPr>
          <t xml:space="preserve">
1 INVESTOINTISUUNNITELMA -taulukon kohdasta 7. Aineettomat hyödykkeet.
Summasta vähennetty avustus.</t>
        </r>
      </text>
    </comment>
    <comment ref="N12" authorId="0" shapeId="0" xr:uid="{4D871CEB-8031-4553-A6E0-1F5A4D4F5FF7}">
      <text>
        <r>
          <rPr>
            <b/>
            <sz val="9"/>
            <color indexed="81"/>
            <rFont val="Tahoma"/>
            <family val="2"/>
          </rPr>
          <t>Laaksonen Aki:</t>
        </r>
        <r>
          <rPr>
            <sz val="9"/>
            <color indexed="81"/>
            <rFont val="Tahoma"/>
            <family val="2"/>
          </rPr>
          <t xml:space="preserve">
</t>
        </r>
        <r>
          <rPr>
            <b/>
            <u/>
            <sz val="9"/>
            <color indexed="81"/>
            <rFont val="Tahoma"/>
            <family val="2"/>
          </rPr>
          <t xml:space="preserve">
Investoinnin käyttöaika kuukausina:</t>
        </r>
        <r>
          <rPr>
            <sz val="9"/>
            <color indexed="81"/>
            <rFont val="Tahoma"/>
            <family val="2"/>
          </rPr>
          <t xml:space="preserve">
Esimerkiksi, jos investointi otetaan käyttöön 3. kuukauden alussa, on käyttökuukausia 10.</t>
        </r>
      </text>
    </comment>
    <comment ref="I13" authorId="0" shapeId="0" xr:uid="{8DBDF75A-2F6A-420C-B28F-0F06B23C63EA}">
      <text>
        <r>
          <rPr>
            <b/>
            <sz val="9"/>
            <color indexed="81"/>
            <rFont val="Tahoma"/>
            <family val="2"/>
          </rPr>
          <t>Laaksonen Aki:</t>
        </r>
        <r>
          <rPr>
            <sz val="9"/>
            <color indexed="81"/>
            <rFont val="Tahoma"/>
            <family val="2"/>
          </rPr>
          <t xml:space="preserve">
</t>
        </r>
        <r>
          <rPr>
            <b/>
            <u/>
            <sz val="9"/>
            <color indexed="81"/>
            <rFont val="Tahoma"/>
            <family val="2"/>
          </rPr>
          <t>Omaisuuden myynti:</t>
        </r>
        <r>
          <rPr>
            <sz val="9"/>
            <color indexed="81"/>
            <rFont val="Tahoma"/>
            <family val="2"/>
          </rPr>
          <t xml:space="preserve">
Myyntisumma lisätään 9 KASSABUDJETTIin kohtaan 5. Liiketoiminnan muut tuotot, yritystuet, (alv 0 % tulot).
</t>
        </r>
        <r>
          <rPr>
            <b/>
            <sz val="9"/>
            <color indexed="81"/>
            <rFont val="Tahoma"/>
            <family val="2"/>
          </rPr>
          <t>Ei vaihtokaupan hyvitystä!</t>
        </r>
      </text>
    </comment>
    <comment ref="F14" authorId="0" shapeId="0" xr:uid="{11683B66-23F7-41C8-B418-8A837074D751}">
      <text>
        <r>
          <rPr>
            <b/>
            <sz val="9"/>
            <color indexed="81"/>
            <rFont val="Tahoma"/>
            <family val="2"/>
          </rPr>
          <t>Laaksonen Aki:</t>
        </r>
        <r>
          <rPr>
            <sz val="9"/>
            <color indexed="81"/>
            <rFont val="Tahoma"/>
            <family val="2"/>
          </rPr>
          <t xml:space="preserve">
</t>
        </r>
        <r>
          <rPr>
            <u/>
            <sz val="9"/>
            <color indexed="81"/>
            <rFont val="Tahoma"/>
            <family val="2"/>
          </rPr>
          <t xml:space="preserve">
</t>
        </r>
        <r>
          <rPr>
            <b/>
            <u/>
            <sz val="9"/>
            <color indexed="81"/>
            <rFont val="Tahoma"/>
            <family val="2"/>
          </rPr>
          <t>Enimmäispoistot verotuksessa:</t>
        </r>
        <r>
          <rPr>
            <sz val="9"/>
            <color indexed="81"/>
            <rFont val="Tahoma"/>
            <family val="2"/>
          </rPr>
          <t xml:space="preserve">
- patentit, liikearvo, tavaramerkki yms. 10-25%
- vuokra- ja osakehuoneiston perusparannus 10-25%
</t>
        </r>
        <r>
          <rPr>
            <b/>
            <sz val="9"/>
            <color indexed="81"/>
            <rFont val="Tahoma"/>
            <family val="2"/>
          </rPr>
          <t xml:space="preserve">
Tasapoiston käyttö on mahdollista</t>
        </r>
        <r>
          <rPr>
            <sz val="9"/>
            <color indexed="81"/>
            <rFont val="Tahoma"/>
            <family val="2"/>
          </rPr>
          <t xml:space="preserve">, kun kirjoitat vuosipoistoprosentin nollaksi ja kirjoitat tasapoiston suoraan soluun oikealle.
</t>
        </r>
      </text>
    </comment>
    <comment ref="I14" authorId="0" shapeId="0" xr:uid="{D8341516-8C3E-479C-8D6B-B70BF51EE3E3}">
      <text>
        <r>
          <rPr>
            <b/>
            <sz val="9"/>
            <color indexed="81"/>
            <rFont val="Tahoma"/>
            <family val="2"/>
          </rPr>
          <t>Laaksonen Aki:</t>
        </r>
        <r>
          <rPr>
            <sz val="9"/>
            <color indexed="81"/>
            <rFont val="Tahoma"/>
            <family val="2"/>
          </rPr>
          <t xml:space="preserve">
</t>
        </r>
        <r>
          <rPr>
            <b/>
            <u/>
            <sz val="9"/>
            <color indexed="81"/>
            <rFont val="Tahoma"/>
            <family val="2"/>
          </rPr>
          <t>Poistot:</t>
        </r>
        <r>
          <rPr>
            <sz val="9"/>
            <color indexed="81"/>
            <rFont val="Tahoma"/>
            <family val="2"/>
          </rPr>
          <t xml:space="preserve">
Investoinnin tarkka määrä voidaan laskea käyttökuukausien mukaan.
Merkitse käyttökuukaudet viereiselle sivulle.
</t>
        </r>
        <r>
          <rPr>
            <b/>
            <sz val="9"/>
            <color indexed="81"/>
            <rFont val="Tahoma"/>
            <family val="2"/>
          </rPr>
          <t xml:space="preserve">Tasapoisto (suunnitelman mukainen poisto) </t>
        </r>
        <r>
          <rPr>
            <sz val="9"/>
            <color indexed="81"/>
            <rFont val="Tahoma"/>
            <family val="2"/>
          </rPr>
          <t>merkitse vuosipoisto-% nollaksi ja kirjoita tasapoiston määrä tälle riville.</t>
        </r>
      </text>
    </comment>
    <comment ref="N14" authorId="0" shapeId="0" xr:uid="{A2EE2F84-232E-4298-B422-5C7403046C1E}">
      <text>
        <r>
          <rPr>
            <b/>
            <sz val="9"/>
            <color indexed="81"/>
            <rFont val="Tahoma"/>
            <family val="2"/>
          </rPr>
          <t>Laaksonen Aki:</t>
        </r>
        <r>
          <rPr>
            <sz val="9"/>
            <color indexed="81"/>
            <rFont val="Tahoma"/>
            <family val="2"/>
          </rPr>
          <t xml:space="preserve">
Poiston tarkka määrä voidaan laskea kuukausina käyttöönottokuukauden alusta lukien. </t>
        </r>
      </text>
    </comment>
    <comment ref="I17" authorId="0" shapeId="0" xr:uid="{C9A6A872-A3B3-4DE3-889E-6794ADA73FC9}">
      <text>
        <r>
          <rPr>
            <b/>
            <sz val="9"/>
            <color indexed="81"/>
            <rFont val="Tahoma"/>
            <family val="2"/>
          </rPr>
          <t>Laaksonen Aki:</t>
        </r>
        <r>
          <rPr>
            <sz val="9"/>
            <color indexed="81"/>
            <rFont val="Tahoma"/>
            <family val="2"/>
          </rPr>
          <t xml:space="preserve">
</t>
        </r>
        <r>
          <rPr>
            <u/>
            <sz val="9"/>
            <color indexed="81"/>
            <rFont val="Tahoma"/>
            <family val="2"/>
          </rPr>
          <t>Lisäykset tilikaudella:</t>
        </r>
        <r>
          <rPr>
            <sz val="9"/>
            <color indexed="81"/>
            <rFont val="Tahoma"/>
            <family val="2"/>
          </rPr>
          <t xml:space="preserve">
1 INVESTOINTISUUNNITELMA -taulukon kohdasta 1. Maa- ja vesialueet.
Summasta vähennetty avustus.</t>
        </r>
      </text>
    </comment>
    <comment ref="I18" authorId="0" shapeId="0" xr:uid="{C10D5E0E-81EA-4660-8656-5D77688F55EC}">
      <text>
        <r>
          <rPr>
            <b/>
            <sz val="9"/>
            <color indexed="81"/>
            <rFont val="Tahoma"/>
            <family val="2"/>
          </rPr>
          <t>Laaksonen Aki:</t>
        </r>
        <r>
          <rPr>
            <sz val="9"/>
            <color indexed="81"/>
            <rFont val="Tahoma"/>
            <family val="2"/>
          </rPr>
          <t xml:space="preserve">
</t>
        </r>
        <r>
          <rPr>
            <b/>
            <u/>
            <sz val="9"/>
            <color indexed="81"/>
            <rFont val="Tahoma"/>
            <family val="2"/>
          </rPr>
          <t>Omaisuuden myynti:</t>
        </r>
        <r>
          <rPr>
            <sz val="9"/>
            <color indexed="81"/>
            <rFont val="Tahoma"/>
            <family val="2"/>
          </rPr>
          <t xml:space="preserve">
Myyntisumma lisätään 9 KASSABUDJETTIin kohtaan 5. Liiketoiminnan muut tuotot, yritystuet, (alv 0 % tulot).
</t>
        </r>
        <r>
          <rPr>
            <b/>
            <sz val="9"/>
            <color indexed="81"/>
            <rFont val="Tahoma"/>
            <family val="2"/>
          </rPr>
          <t>Ei vaihtokaupan hyvitystä!</t>
        </r>
      </text>
    </comment>
    <comment ref="I20" authorId="0" shapeId="0" xr:uid="{077CC3E4-EE5B-47B5-9DFA-3B60F9A78B2D}">
      <text>
        <r>
          <rPr>
            <b/>
            <sz val="9"/>
            <color indexed="81"/>
            <rFont val="Tahoma"/>
            <family val="2"/>
          </rPr>
          <t>Laaksonen Aki:</t>
        </r>
        <r>
          <rPr>
            <sz val="9"/>
            <color indexed="81"/>
            <rFont val="Tahoma"/>
            <family val="2"/>
          </rPr>
          <t xml:space="preserve">
</t>
        </r>
        <r>
          <rPr>
            <u/>
            <sz val="9"/>
            <color indexed="81"/>
            <rFont val="Tahoma"/>
            <family val="2"/>
          </rPr>
          <t>Lisäykset tilikaudella:</t>
        </r>
        <r>
          <rPr>
            <sz val="9"/>
            <color indexed="81"/>
            <rFont val="Tahoma"/>
            <family val="2"/>
          </rPr>
          <t xml:space="preserve">
1 INVESTOINTISUUNNITELMA -taulukon kohdasta 2. ja 3. Rakennukset ja rakennelmat. 
Summasta vähennetty avustus ja alv-palautus.</t>
        </r>
      </text>
    </comment>
    <comment ref="N20" authorId="0" shapeId="0" xr:uid="{7299521A-B769-4F91-8964-CE5C39A17C79}">
      <text>
        <r>
          <rPr>
            <b/>
            <sz val="9"/>
            <color indexed="81"/>
            <rFont val="Tahoma"/>
            <family val="2"/>
          </rPr>
          <t>Laaksonen Aki:</t>
        </r>
        <r>
          <rPr>
            <sz val="9"/>
            <color indexed="81"/>
            <rFont val="Tahoma"/>
            <family val="2"/>
          </rPr>
          <t xml:space="preserve">
</t>
        </r>
        <r>
          <rPr>
            <b/>
            <u/>
            <sz val="9"/>
            <color indexed="81"/>
            <rFont val="Tahoma"/>
            <family val="2"/>
          </rPr>
          <t xml:space="preserve">
Investoinnin käyttöaika kuukausina:</t>
        </r>
        <r>
          <rPr>
            <sz val="9"/>
            <color indexed="81"/>
            <rFont val="Tahoma"/>
            <family val="2"/>
          </rPr>
          <t xml:space="preserve">
Esimerkiksi, jos investointi otetaan käyttöön 3. kuukauden alussa, on käyttökuukausia 10.</t>
        </r>
      </text>
    </comment>
    <comment ref="I21" authorId="0" shapeId="0" xr:uid="{D6D1BAE5-D70D-4AFB-8F39-181C344DA2A2}">
      <text>
        <r>
          <rPr>
            <b/>
            <sz val="9"/>
            <color indexed="81"/>
            <rFont val="Tahoma"/>
            <family val="2"/>
          </rPr>
          <t>Laaksonen Aki:</t>
        </r>
        <r>
          <rPr>
            <sz val="9"/>
            <color indexed="81"/>
            <rFont val="Tahoma"/>
            <family val="2"/>
          </rPr>
          <t xml:space="preserve">
</t>
        </r>
        <r>
          <rPr>
            <b/>
            <u/>
            <sz val="9"/>
            <color indexed="81"/>
            <rFont val="Tahoma"/>
            <family val="2"/>
          </rPr>
          <t>Omaisuuden myynti:</t>
        </r>
        <r>
          <rPr>
            <sz val="9"/>
            <color indexed="81"/>
            <rFont val="Tahoma"/>
            <family val="2"/>
          </rPr>
          <t xml:space="preserve">
Myyntisumma lisätään 9 KASSABUDJETTIin kohtaan 5. Liiketoiminnan muut tuotot, yritystuet, (alv 0 % tulot).
</t>
        </r>
        <r>
          <rPr>
            <b/>
            <sz val="9"/>
            <color indexed="81"/>
            <rFont val="Tahoma"/>
            <family val="2"/>
          </rPr>
          <t>Ei vaihtokaupan hyvitystä!</t>
        </r>
      </text>
    </comment>
    <comment ref="F22" authorId="0" shapeId="0" xr:uid="{FC132EC7-032B-4AA9-84FE-1ED0451C78C9}">
      <text>
        <r>
          <rPr>
            <b/>
            <sz val="9"/>
            <color indexed="81"/>
            <rFont val="Tahoma"/>
            <family val="2"/>
          </rPr>
          <t>Laaksonen Aki:</t>
        </r>
        <r>
          <rPr>
            <sz val="9"/>
            <color indexed="81"/>
            <rFont val="Tahoma"/>
            <family val="2"/>
          </rPr>
          <t xml:space="preserve">
</t>
        </r>
        <r>
          <rPr>
            <u/>
            <sz val="9"/>
            <color indexed="81"/>
            <rFont val="Tahoma"/>
            <family val="2"/>
          </rPr>
          <t xml:space="preserve">
</t>
        </r>
        <r>
          <rPr>
            <b/>
            <u/>
            <sz val="9"/>
            <color indexed="81"/>
            <rFont val="Tahoma"/>
            <family val="2"/>
          </rPr>
          <t>Enimmäispoistot verotuksessa:</t>
        </r>
        <r>
          <rPr>
            <sz val="9"/>
            <color indexed="81"/>
            <rFont val="Tahoma"/>
            <family val="2"/>
          </rPr>
          <t xml:space="preserve">
- tuotantotilat, myymälät 7%
- asuin-, toimisto-, tms. tilat 4%
- säiliöt, kevyet rakennelmat 20%
</t>
        </r>
        <r>
          <rPr>
            <b/>
            <sz val="9"/>
            <color indexed="81"/>
            <rFont val="Tahoma"/>
            <family val="2"/>
          </rPr>
          <t>Tasapoiston käyttö on mahdollista</t>
        </r>
        <r>
          <rPr>
            <sz val="9"/>
            <color indexed="81"/>
            <rFont val="Tahoma"/>
            <family val="2"/>
          </rPr>
          <t xml:space="preserve">, kun kirjoitat vuosipoistoprosentin nollaksi ja kirjoitat tasapoiston suoraan soluun oikealle.
</t>
        </r>
      </text>
    </comment>
    <comment ref="N22" authorId="0" shapeId="0" xr:uid="{3992D052-4222-4B3A-A18C-5392BCF214C9}">
      <text>
        <r>
          <rPr>
            <b/>
            <sz val="9"/>
            <color indexed="81"/>
            <rFont val="Tahoma"/>
            <family val="2"/>
          </rPr>
          <t>Laaksonen Aki:</t>
        </r>
        <r>
          <rPr>
            <sz val="9"/>
            <color indexed="81"/>
            <rFont val="Tahoma"/>
            <family val="2"/>
          </rPr>
          <t xml:space="preserve">
Poiston tarkka määrä voidaan laskea kuukausina käyttöönottokuukauden alusta lukien. </t>
        </r>
      </text>
    </comment>
    <comment ref="I24" authorId="0" shapeId="0" xr:uid="{0D693452-F487-4D04-AEB0-0EF040D82B36}">
      <text>
        <r>
          <rPr>
            <b/>
            <sz val="9"/>
            <color indexed="81"/>
            <rFont val="Tahoma"/>
            <family val="2"/>
          </rPr>
          <t>Laaksonen Aki:</t>
        </r>
        <r>
          <rPr>
            <sz val="9"/>
            <color indexed="81"/>
            <rFont val="Tahoma"/>
            <family val="2"/>
          </rPr>
          <t xml:space="preserve">
</t>
        </r>
        <r>
          <rPr>
            <u/>
            <sz val="9"/>
            <color indexed="81"/>
            <rFont val="Tahoma"/>
            <family val="2"/>
          </rPr>
          <t>Lisäykset tilikaudella:</t>
        </r>
        <r>
          <rPr>
            <sz val="9"/>
            <color indexed="81"/>
            <rFont val="Tahoma"/>
            <family val="2"/>
          </rPr>
          <t xml:space="preserve">
1 INVESTOINTISUUNNITELMA -taulukon kohdasta 4. ja 5. Koneet ja kalusto. 
Summasta vähennetty leasingrahoitus, avustus ja alv-palautus.</t>
        </r>
      </text>
    </comment>
    <comment ref="N24" authorId="0" shapeId="0" xr:uid="{4BF06D77-79BB-4E4C-8159-87FB6A52D50B}">
      <text>
        <r>
          <rPr>
            <b/>
            <sz val="9"/>
            <color indexed="81"/>
            <rFont val="Tahoma"/>
            <family val="2"/>
          </rPr>
          <t>Laaksonen Aki:</t>
        </r>
        <r>
          <rPr>
            <sz val="9"/>
            <color indexed="81"/>
            <rFont val="Tahoma"/>
            <family val="2"/>
          </rPr>
          <t xml:space="preserve">
</t>
        </r>
        <r>
          <rPr>
            <b/>
            <u/>
            <sz val="9"/>
            <color indexed="81"/>
            <rFont val="Tahoma"/>
            <family val="2"/>
          </rPr>
          <t xml:space="preserve">
Investoinnin käyttöaika kuukausina:</t>
        </r>
        <r>
          <rPr>
            <sz val="9"/>
            <color indexed="81"/>
            <rFont val="Tahoma"/>
            <family val="2"/>
          </rPr>
          <t xml:space="preserve">
Esimerkiksi, jos investointi otetaan käyttöön 3. kuukauden alussa, on käyttökuukausia 10.</t>
        </r>
      </text>
    </comment>
    <comment ref="I25" authorId="0" shapeId="0" xr:uid="{8D2C9044-6BC6-4444-9A60-B9CA62854BB6}">
      <text>
        <r>
          <rPr>
            <b/>
            <sz val="9"/>
            <color indexed="81"/>
            <rFont val="Tahoma"/>
            <family val="2"/>
          </rPr>
          <t>Laaksonen Aki:</t>
        </r>
        <r>
          <rPr>
            <sz val="9"/>
            <color indexed="81"/>
            <rFont val="Tahoma"/>
            <family val="2"/>
          </rPr>
          <t xml:space="preserve">
</t>
        </r>
        <r>
          <rPr>
            <b/>
            <u/>
            <sz val="9"/>
            <color indexed="81"/>
            <rFont val="Tahoma"/>
            <family val="2"/>
          </rPr>
          <t>Omaisuuden myynti (sis. alv):</t>
        </r>
        <r>
          <rPr>
            <sz val="9"/>
            <color indexed="81"/>
            <rFont val="Tahoma"/>
            <family val="2"/>
          </rPr>
          <t xml:space="preserve">
Myyntisumma lisätään 9 KASSABUDJETTIin kohtaan 4. Satunnaiset tuotot, omaisuuden myyntitulot. </t>
        </r>
        <r>
          <rPr>
            <b/>
            <sz val="9"/>
            <color indexed="81"/>
            <rFont val="Tahoma"/>
            <family val="2"/>
          </rPr>
          <t xml:space="preserve">Ei vaihtokaupan hyvitystä!
Arvonlisäverottoman omaisuuden myynti:
</t>
        </r>
        <r>
          <rPr>
            <sz val="9"/>
            <color indexed="81"/>
            <rFont val="Tahoma"/>
            <family val="2"/>
          </rPr>
          <t>Myyntisumma lisätään 9 KASSABUDJETTI kohtaan 5. Liiketoiminnan muut tuotot, yritystuet, alv 0 % tulot.</t>
        </r>
        <r>
          <rPr>
            <b/>
            <sz val="9"/>
            <color indexed="81"/>
            <rFont val="Tahoma"/>
            <family val="2"/>
          </rPr>
          <t xml:space="preserve">
</t>
        </r>
      </text>
    </comment>
    <comment ref="F26" authorId="0" shapeId="0" xr:uid="{55E03B7C-E275-493E-8353-4E897E5693F6}">
      <text>
        <r>
          <rPr>
            <b/>
            <sz val="9"/>
            <color indexed="81"/>
            <rFont val="Tahoma"/>
            <family val="2"/>
          </rPr>
          <t>Laaksonen Aki:</t>
        </r>
        <r>
          <rPr>
            <sz val="9"/>
            <color indexed="81"/>
            <rFont val="Tahoma"/>
            <family val="2"/>
          </rPr>
          <t xml:space="preserve">
</t>
        </r>
        <r>
          <rPr>
            <u/>
            <sz val="9"/>
            <color indexed="81"/>
            <rFont val="Tahoma"/>
            <family val="2"/>
          </rPr>
          <t xml:space="preserve">
</t>
        </r>
        <r>
          <rPr>
            <b/>
            <u/>
            <sz val="9"/>
            <color indexed="81"/>
            <rFont val="Tahoma"/>
            <family val="2"/>
          </rPr>
          <t>Enimmäispoistot verotuksessa:</t>
        </r>
        <r>
          <rPr>
            <sz val="9"/>
            <color indexed="81"/>
            <rFont val="Tahoma"/>
            <family val="2"/>
          </rPr>
          <t xml:space="preserve">
- koneet ja kalusto 25% (50% eli kaksinkertaiset poistot uusiin kone- ja laiteinvestointeihin vuosina 2024-2025. Koskee vain uutta kalustoa, joten laske keskimääräinen poistoprosentti.
- poikkeus ammattiliikenteen ajoneuvot
</t>
        </r>
        <r>
          <rPr>
            <b/>
            <sz val="9"/>
            <color indexed="81"/>
            <rFont val="Tahoma"/>
            <family val="2"/>
          </rPr>
          <t xml:space="preserve">
Tasapoiston käyttö on mahdollista</t>
        </r>
        <r>
          <rPr>
            <sz val="9"/>
            <color indexed="81"/>
            <rFont val="Tahoma"/>
            <family val="2"/>
          </rPr>
          <t xml:space="preserve">, kun kirjoitat vuosipoistoprosentin nollaksi ja kirjoitat tasapoiston suoraan soluun oikealle.
</t>
        </r>
      </text>
    </comment>
    <comment ref="N26" authorId="0" shapeId="0" xr:uid="{433CAC57-6FFB-49EE-85C6-74464E973DEE}">
      <text>
        <r>
          <rPr>
            <b/>
            <sz val="9"/>
            <color indexed="81"/>
            <rFont val="Tahoma"/>
            <family val="2"/>
          </rPr>
          <t>Laaksonen Aki:</t>
        </r>
        <r>
          <rPr>
            <sz val="9"/>
            <color indexed="81"/>
            <rFont val="Tahoma"/>
            <family val="2"/>
          </rPr>
          <t xml:space="preserve">
Poiston tarkka määrä voidaan laskea kuukausina käyttöönottokuukauden alusta lukien. </t>
        </r>
      </text>
    </comment>
    <comment ref="G27" authorId="0" shapeId="0" xr:uid="{046B75FC-CB5D-4339-A435-4B376944D2BC}">
      <text>
        <r>
          <rPr>
            <b/>
            <sz val="9"/>
            <color indexed="81"/>
            <rFont val="Tahoma"/>
            <family val="2"/>
          </rPr>
          <t>Laaksonen Aki:</t>
        </r>
        <r>
          <rPr>
            <sz val="9"/>
            <color indexed="81"/>
            <rFont val="Tahoma"/>
            <family val="2"/>
          </rPr>
          <t xml:space="preserve">
</t>
        </r>
        <r>
          <rPr>
            <b/>
            <u/>
            <sz val="9"/>
            <color indexed="81"/>
            <rFont val="Tahoma"/>
            <family val="2"/>
          </rPr>
          <t>Muut aineelliset hyödykkeet:</t>
        </r>
        <r>
          <rPr>
            <sz val="9"/>
            <color indexed="81"/>
            <rFont val="Tahoma"/>
            <family val="2"/>
          </rPr>
          <t xml:space="preserve">
- itse omistetun tontin asfaltointi, salaojitus tms.
- soranottopaikat tms. kulutuksen mukaan</t>
        </r>
      </text>
    </comment>
    <comment ref="H27" authorId="0" shapeId="0" xr:uid="{75E6C2BB-54C2-45BD-AE8E-FC5798EADF33}">
      <text>
        <r>
          <rPr>
            <b/>
            <sz val="9"/>
            <color indexed="81"/>
            <rFont val="Tahoma"/>
            <family val="2"/>
          </rPr>
          <t>Laaksonen Aki:</t>
        </r>
        <r>
          <rPr>
            <sz val="9"/>
            <color indexed="81"/>
            <rFont val="Tahoma"/>
            <family val="2"/>
          </rPr>
          <t xml:space="preserve">
</t>
        </r>
        <r>
          <rPr>
            <b/>
            <u/>
            <sz val="9"/>
            <color indexed="81"/>
            <rFont val="Tahoma"/>
            <family val="2"/>
          </rPr>
          <t>Muut aineelliset hyödykkeet:</t>
        </r>
        <r>
          <rPr>
            <sz val="9"/>
            <color indexed="81"/>
            <rFont val="Tahoma"/>
            <family val="2"/>
          </rPr>
          <t xml:space="preserve">
- itse omistetun tontin asfaltointi, salaojitus tms.
- soranottopaikat tms. kulutuksen mukaan</t>
        </r>
      </text>
    </comment>
    <comment ref="I28" authorId="0" shapeId="0" xr:uid="{C27D98A8-8D27-4B83-B592-8296F7D48076}">
      <text>
        <r>
          <rPr>
            <b/>
            <sz val="9"/>
            <color indexed="81"/>
            <rFont val="Tahoma"/>
            <family val="2"/>
          </rPr>
          <t>Laaksonen Aki:</t>
        </r>
        <r>
          <rPr>
            <sz val="9"/>
            <color indexed="81"/>
            <rFont val="Tahoma"/>
            <family val="2"/>
          </rPr>
          <t xml:space="preserve">
</t>
        </r>
        <r>
          <rPr>
            <u/>
            <sz val="9"/>
            <color indexed="81"/>
            <rFont val="Tahoma"/>
            <family val="2"/>
          </rPr>
          <t>Lisäykset tilikaudella:</t>
        </r>
        <r>
          <rPr>
            <sz val="9"/>
            <color indexed="81"/>
            <rFont val="Tahoma"/>
            <family val="2"/>
          </rPr>
          <t xml:space="preserve">
1 INVESTOINTISUUNNITELMA -taulukon kohdasta 6. Muut aineelliset hyödykkeet.
Summasta vähennetty avustus ja alv-palautus.</t>
        </r>
      </text>
    </comment>
    <comment ref="N28" authorId="0" shapeId="0" xr:uid="{ED94C523-CD08-4D0C-BDBF-B0863A44D4A0}">
      <text>
        <r>
          <rPr>
            <b/>
            <sz val="9"/>
            <color indexed="81"/>
            <rFont val="Tahoma"/>
            <family val="2"/>
          </rPr>
          <t>Laaksonen Aki:</t>
        </r>
        <r>
          <rPr>
            <sz val="9"/>
            <color indexed="81"/>
            <rFont val="Tahoma"/>
            <family val="2"/>
          </rPr>
          <t xml:space="preserve">
</t>
        </r>
        <r>
          <rPr>
            <b/>
            <u/>
            <sz val="9"/>
            <color indexed="81"/>
            <rFont val="Tahoma"/>
            <family val="2"/>
          </rPr>
          <t xml:space="preserve">
Investoinnin käyttöaika kuukausina:</t>
        </r>
        <r>
          <rPr>
            <sz val="9"/>
            <color indexed="81"/>
            <rFont val="Tahoma"/>
            <family val="2"/>
          </rPr>
          <t xml:space="preserve">
Esimerkiksi, jos investointi otetaan käyttöön 3. kuukauden alussa, on käyttökuukausia 10.</t>
        </r>
      </text>
    </comment>
    <comment ref="I29" authorId="0" shapeId="0" xr:uid="{33B5F46F-6EBD-4189-A74D-9AD3617D7A87}">
      <text>
        <r>
          <rPr>
            <b/>
            <sz val="9"/>
            <color indexed="81"/>
            <rFont val="Tahoma"/>
            <family val="2"/>
          </rPr>
          <t>Laaksonen Aki:</t>
        </r>
        <r>
          <rPr>
            <sz val="9"/>
            <color indexed="81"/>
            <rFont val="Tahoma"/>
            <family val="2"/>
          </rPr>
          <t xml:space="preserve">
</t>
        </r>
        <r>
          <rPr>
            <b/>
            <u/>
            <sz val="9"/>
            <color indexed="81"/>
            <rFont val="Tahoma"/>
            <family val="2"/>
          </rPr>
          <t>Omaisuuden myynti (sis. alv):</t>
        </r>
        <r>
          <rPr>
            <sz val="9"/>
            <color indexed="81"/>
            <rFont val="Tahoma"/>
            <family val="2"/>
          </rPr>
          <t xml:space="preserve">
Myyntisumma lisätään 9 KASSABUDJETTIin kohtaan 4. Satunnaiset tuotot, omaisuuden myyntitulot. </t>
        </r>
        <r>
          <rPr>
            <b/>
            <sz val="9"/>
            <color indexed="81"/>
            <rFont val="Tahoma"/>
            <family val="2"/>
          </rPr>
          <t xml:space="preserve">Ei vaihtokaupan hyvitystä!
Arvonlisäverottoman omaisuuden myynti:
</t>
        </r>
        <r>
          <rPr>
            <sz val="9"/>
            <color indexed="81"/>
            <rFont val="Tahoma"/>
            <family val="2"/>
          </rPr>
          <t>Myyntisumma lisätään 9 KASSABUDJETTI kohtaan 5. Liiketoiminnan muut tuotot, yritystuet, alv 0 % tulot.</t>
        </r>
        <r>
          <rPr>
            <b/>
            <sz val="9"/>
            <color indexed="81"/>
            <rFont val="Tahoma"/>
            <family val="2"/>
          </rPr>
          <t xml:space="preserve">
</t>
        </r>
      </text>
    </comment>
    <comment ref="F30" authorId="0" shapeId="0" xr:uid="{3BDB4B53-076C-4CFE-B4B2-845B71987711}">
      <text>
        <r>
          <rPr>
            <b/>
            <sz val="9"/>
            <color indexed="81"/>
            <rFont val="Tahoma"/>
            <family val="2"/>
          </rPr>
          <t>Laaksonen Aki:</t>
        </r>
        <r>
          <rPr>
            <sz val="9"/>
            <color indexed="81"/>
            <rFont val="Tahoma"/>
            <family val="2"/>
          </rPr>
          <t xml:space="preserve">
</t>
        </r>
        <r>
          <rPr>
            <u/>
            <sz val="9"/>
            <color indexed="81"/>
            <rFont val="Tahoma"/>
            <family val="2"/>
          </rPr>
          <t xml:space="preserve">
</t>
        </r>
        <r>
          <rPr>
            <sz val="9"/>
            <color indexed="81"/>
            <rFont val="Tahoma"/>
            <family val="2"/>
          </rPr>
          <t xml:space="preserve">- itse omistetun tontin asfaltointimeno 10-25%
- soraottopaikat yms. kulutuksen mukaan
</t>
        </r>
        <r>
          <rPr>
            <b/>
            <sz val="9"/>
            <color indexed="81"/>
            <rFont val="Tahoma"/>
            <family val="2"/>
          </rPr>
          <t xml:space="preserve">
Tasapoiston käyttö on mahdollista</t>
        </r>
        <r>
          <rPr>
            <sz val="9"/>
            <color indexed="81"/>
            <rFont val="Tahoma"/>
            <family val="2"/>
          </rPr>
          <t xml:space="preserve">, kun kirjoitat vuosipoistoprosentin nollaksi ja kirjoitat tasapoiston suoraan soluun oikealle.
</t>
        </r>
      </text>
    </comment>
    <comment ref="N30" authorId="0" shapeId="0" xr:uid="{A89B39F4-C5B1-48CD-A360-7B28C985C4B9}">
      <text>
        <r>
          <rPr>
            <b/>
            <sz val="9"/>
            <color indexed="81"/>
            <rFont val="Tahoma"/>
            <family val="2"/>
          </rPr>
          <t>Laaksonen Aki:</t>
        </r>
        <r>
          <rPr>
            <sz val="9"/>
            <color indexed="81"/>
            <rFont val="Tahoma"/>
            <family val="2"/>
          </rPr>
          <t xml:space="preserve">
Poiston tarkka määrä voidaan laskea kuukausina käyttöönottokuukauden alusta lukien. </t>
        </r>
      </text>
    </comment>
    <comment ref="I32" authorId="0" shapeId="0" xr:uid="{F214494F-7B12-449E-A3CC-329C6CFC7B57}">
      <text>
        <r>
          <rPr>
            <b/>
            <sz val="9"/>
            <color indexed="81"/>
            <rFont val="Tahoma"/>
            <family val="2"/>
          </rPr>
          <t>Laaksonen Aki:</t>
        </r>
        <r>
          <rPr>
            <sz val="9"/>
            <color indexed="81"/>
            <rFont val="Tahoma"/>
            <family val="2"/>
          </rPr>
          <t xml:space="preserve">
</t>
        </r>
        <r>
          <rPr>
            <b/>
            <u/>
            <sz val="9"/>
            <color indexed="81"/>
            <rFont val="Tahoma"/>
            <family val="2"/>
          </rPr>
          <t>Lisäykset tilikaudella (Sijoitukset):</t>
        </r>
        <r>
          <rPr>
            <sz val="9"/>
            <color indexed="81"/>
            <rFont val="Tahoma"/>
            <family val="2"/>
          </rPr>
          <t xml:space="preserve">
Luku siirtynyt 1 INVESTOINTISUUNNITELMAn kohdasta 8. Sijoitukset.
Voidaan muuttaa.</t>
        </r>
      </text>
    </comment>
    <comment ref="G36" authorId="0" shapeId="0" xr:uid="{474D44A0-9CF8-4B5D-8B6D-5C0E8D247DBA}">
      <text>
        <r>
          <rPr>
            <b/>
            <sz val="9"/>
            <color indexed="81"/>
            <rFont val="Tahoma"/>
            <family val="2"/>
          </rPr>
          <t>Laaksonen Aki:</t>
        </r>
        <r>
          <rPr>
            <sz val="9"/>
            <color indexed="81"/>
            <rFont val="Tahoma"/>
            <family val="2"/>
          </rPr>
          <t xml:space="preserve">
Kirjoita kokonaislukuna ilman senttejä.</t>
        </r>
      </text>
    </comment>
    <comment ref="H36" authorId="0" shapeId="0" xr:uid="{3D141A9C-DB39-4C7B-B3BA-5E6BE2988A12}">
      <text>
        <r>
          <rPr>
            <b/>
            <sz val="9"/>
            <color indexed="81"/>
            <rFont val="Tahoma"/>
            <family val="2"/>
          </rPr>
          <t>Laaksonen Aki:</t>
        </r>
        <r>
          <rPr>
            <sz val="9"/>
            <color indexed="81"/>
            <rFont val="Tahoma"/>
            <family val="2"/>
          </rPr>
          <t xml:space="preserve">
Kirjoita kokonaislukuna ilman senttejä.</t>
        </r>
      </text>
    </comment>
    <comment ref="C37" authorId="0" shapeId="0" xr:uid="{0876D196-DE7A-4E15-B066-B402072A3153}">
      <text>
        <r>
          <rPr>
            <b/>
            <sz val="9"/>
            <color indexed="81"/>
            <rFont val="Tahoma"/>
            <family val="2"/>
          </rPr>
          <t>Laaksonen Aki:</t>
        </r>
        <r>
          <rPr>
            <sz val="9"/>
            <color indexed="81"/>
            <rFont val="Tahoma"/>
            <family val="2"/>
          </rPr>
          <t xml:space="preserve">
</t>
        </r>
        <r>
          <rPr>
            <b/>
            <u/>
            <sz val="9"/>
            <color indexed="81"/>
            <rFont val="Tahoma"/>
            <family val="2"/>
          </rPr>
          <t>Vaihto-omaisuus/liikevaihto (%):</t>
        </r>
        <r>
          <rPr>
            <sz val="9"/>
            <color indexed="81"/>
            <rFont val="Tahoma"/>
            <family val="2"/>
          </rPr>
          <t xml:space="preserve">
Luku ilmoittaa, kuinka suuri osuus (%) liikevaihdosta on sidottuna varastoon.
</t>
        </r>
        <r>
          <rPr>
            <u/>
            <sz val="9"/>
            <color indexed="81"/>
            <rFont val="Tahoma"/>
            <family val="2"/>
          </rPr>
          <t>Laskukaava:</t>
        </r>
        <r>
          <rPr>
            <sz val="9"/>
            <color indexed="81"/>
            <rFont val="Tahoma"/>
            <family val="2"/>
          </rPr>
          <t xml:space="preserve">
100 * (vaihto-omaisuus / liikevaihto (12 kk))</t>
        </r>
      </text>
    </comment>
    <comment ref="G37" authorId="0" shapeId="0" xr:uid="{95CECEE4-2D8D-4E2A-BF3C-6E45F2031426}">
      <text>
        <r>
          <rPr>
            <b/>
            <sz val="9"/>
            <color indexed="81"/>
            <rFont val="Tahoma"/>
            <family val="2"/>
          </rPr>
          <t>Laaksonen Aki:</t>
        </r>
        <r>
          <rPr>
            <sz val="9"/>
            <color indexed="81"/>
            <rFont val="Tahoma"/>
            <family val="2"/>
          </rPr>
          <t xml:space="preserve">
Luku siirtyy taulukosta 8 RAHOITUSSUUNNITELMA riviltä 45.</t>
        </r>
      </text>
    </comment>
    <comment ref="H37" authorId="0" shapeId="0" xr:uid="{3F052DE2-9479-47DF-8CD2-FA2F37821FC5}">
      <text>
        <r>
          <rPr>
            <b/>
            <sz val="9"/>
            <color indexed="81"/>
            <rFont val="Tahoma"/>
            <family val="2"/>
          </rPr>
          <t>Laaksonen Aki:</t>
        </r>
        <r>
          <rPr>
            <sz val="9"/>
            <color indexed="81"/>
            <rFont val="Tahoma"/>
            <family val="2"/>
          </rPr>
          <t xml:space="preserve">
Luku siirtyy taulukosta 8 RAHOITUSSUUNNITELMA riviltä 45.</t>
        </r>
      </text>
    </comment>
    <comment ref="I37" authorId="0" shapeId="0" xr:uid="{966D416D-C7BB-4C0D-AFFB-E6B86B5E57BC}">
      <text>
        <r>
          <rPr>
            <b/>
            <sz val="9"/>
            <color indexed="81"/>
            <rFont val="Tahoma"/>
            <family val="2"/>
          </rPr>
          <t>Laaksonen Aki:</t>
        </r>
        <r>
          <rPr>
            <sz val="9"/>
            <color indexed="81"/>
            <rFont val="Tahoma"/>
            <family val="2"/>
          </rPr>
          <t xml:space="preserve">
Luku siirtyy taulukosta 8 RAHOITUSSUUNNITELMA riviltä 45.</t>
        </r>
      </text>
    </comment>
    <comment ref="C40" authorId="0" shapeId="0" xr:uid="{9A6EC1D1-1AA6-4E69-B637-1C8DF036AF26}">
      <text>
        <r>
          <rPr>
            <b/>
            <sz val="9"/>
            <color indexed="81"/>
            <rFont val="Tahoma"/>
            <family val="2"/>
          </rPr>
          <t>Laaksonen Aki:</t>
        </r>
        <r>
          <rPr>
            <sz val="9"/>
            <color indexed="81"/>
            <rFont val="Tahoma"/>
            <family val="2"/>
          </rPr>
          <t xml:space="preserve">
</t>
        </r>
        <r>
          <rPr>
            <b/>
            <u/>
            <sz val="9"/>
            <color indexed="81"/>
            <rFont val="Tahoma"/>
            <family val="2"/>
          </rPr>
          <t>Myyntisaamisten kiertonopeus (pv):</t>
        </r>
        <r>
          <rPr>
            <sz val="9"/>
            <color indexed="81"/>
            <rFont val="Tahoma"/>
            <family val="2"/>
          </rPr>
          <t xml:space="preserve">
Luku ilmoittaa, kuinka nopeasti asiakas maksaa laskunsa.
</t>
        </r>
        <r>
          <rPr>
            <u/>
            <sz val="9"/>
            <color indexed="81"/>
            <rFont val="Tahoma"/>
            <family val="2"/>
          </rPr>
          <t>Laskukaava:</t>
        </r>
        <r>
          <rPr>
            <sz val="9"/>
            <color indexed="81"/>
            <rFont val="Tahoma"/>
            <family val="2"/>
          </rPr>
          <t xml:space="preserve">
(myyntisaamiset / liikevaihto) * 365</t>
        </r>
      </text>
    </comment>
    <comment ref="I40" authorId="0" shapeId="0" xr:uid="{0FA2BD2D-4251-456E-8AA2-52998DDE374A}">
      <text>
        <r>
          <rPr>
            <b/>
            <sz val="9"/>
            <color indexed="81"/>
            <rFont val="Tahoma"/>
            <family val="2"/>
          </rPr>
          <t>Laaksonen Aki:</t>
        </r>
        <r>
          <rPr>
            <sz val="9"/>
            <color indexed="81"/>
            <rFont val="Tahoma"/>
            <family val="2"/>
          </rPr>
          <t xml:space="preserve">
Luku siirtyy taulukosta 8 RAHOITUSSUUNNITELMA soluista H47 - K47.</t>
        </r>
      </text>
    </comment>
    <comment ref="I42" authorId="0" shapeId="0" xr:uid="{E2DA310C-7E50-43F8-B6A9-06DE567770A0}">
      <text>
        <r>
          <rPr>
            <b/>
            <sz val="9"/>
            <color indexed="81"/>
            <rFont val="Tahoma"/>
            <family val="2"/>
          </rPr>
          <t>Laaksonen Aki:</t>
        </r>
        <r>
          <rPr>
            <sz val="9"/>
            <color indexed="81"/>
            <rFont val="Tahoma"/>
            <family val="2"/>
          </rPr>
          <t xml:space="preserve">
Luku siirtyy taulukosta 8 RAHOITUSSUUNNITELMA soluista H50 - K50.</t>
        </r>
      </text>
    </comment>
    <comment ref="G43" authorId="0" shapeId="0" xr:uid="{2F3EDB31-71B7-4BDF-BE08-3684DE174020}">
      <text>
        <r>
          <rPr>
            <b/>
            <sz val="9"/>
            <color indexed="81"/>
            <rFont val="Tahoma"/>
            <family val="2"/>
          </rPr>
          <t>Laaksonen Aki:</t>
        </r>
        <r>
          <rPr>
            <sz val="9"/>
            <color indexed="81"/>
            <rFont val="Tahoma"/>
            <family val="2"/>
          </rPr>
          <t xml:space="preserve">
</t>
        </r>
        <r>
          <rPr>
            <b/>
            <u/>
            <sz val="9"/>
            <color indexed="81"/>
            <rFont val="Tahoma"/>
            <family val="2"/>
          </rPr>
          <t>Muut saamiset:</t>
        </r>
        <r>
          <rPr>
            <sz val="9"/>
            <color indexed="81"/>
            <rFont val="Tahoma"/>
            <family val="2"/>
          </rPr>
          <t xml:space="preserve">
- veronpalautukset
- alv-saamiset edelliseltä tilikaudelta
- vakuustalletukset
- vuokravakuudet
- edelliseltä tilikaudelta siirtynyt tai muu avustus kuin investointiavustus</t>
        </r>
      </text>
    </comment>
    <comment ref="H43" authorId="0" shapeId="0" xr:uid="{2827D803-24FD-4500-83EC-8921F99A186C}">
      <text>
        <r>
          <rPr>
            <b/>
            <sz val="9"/>
            <color indexed="81"/>
            <rFont val="Tahoma"/>
            <family val="2"/>
          </rPr>
          <t>Laaksonen Aki:</t>
        </r>
        <r>
          <rPr>
            <sz val="9"/>
            <color indexed="81"/>
            <rFont val="Tahoma"/>
            <family val="2"/>
          </rPr>
          <t xml:space="preserve">
</t>
        </r>
        <r>
          <rPr>
            <b/>
            <u/>
            <sz val="9"/>
            <color indexed="81"/>
            <rFont val="Tahoma"/>
            <family val="2"/>
          </rPr>
          <t>Muut saamiset:</t>
        </r>
        <r>
          <rPr>
            <sz val="9"/>
            <color indexed="81"/>
            <rFont val="Tahoma"/>
            <family val="2"/>
          </rPr>
          <t xml:space="preserve">
- veronpalautukset
- alv-saamiset edelliseltä tilikaudelta
- vakuustalletukset
- vuokravakuudet
- edelliseltä tilikaudelta siirtynyt tai muu avustus kuin investointiavustus</t>
        </r>
      </text>
    </comment>
    <comment ref="G44" authorId="0" shapeId="0" xr:uid="{B2DFF2B2-E4FE-403D-AAF4-4AD2947AF133}">
      <text>
        <r>
          <rPr>
            <b/>
            <sz val="9"/>
            <color indexed="81"/>
            <rFont val="Tahoma"/>
            <family val="2"/>
          </rPr>
          <t>Laaksonen Aki:</t>
        </r>
        <r>
          <rPr>
            <sz val="9"/>
            <color indexed="81"/>
            <rFont val="Tahoma"/>
            <family val="2"/>
          </rPr>
          <t xml:space="preserve">
</t>
        </r>
        <r>
          <rPr>
            <b/>
            <u/>
            <sz val="9"/>
            <color indexed="81"/>
            <rFont val="Tahoma"/>
            <family val="2"/>
          </rPr>
          <t>Siirtosaamiset:</t>
        </r>
        <r>
          <rPr>
            <sz val="9"/>
            <color indexed="81"/>
            <rFont val="Tahoma"/>
            <family val="2"/>
          </rPr>
          <t xml:space="preserve">
- ennakkoon maksetut vakuutusmaksut yms. Menoennakot
- vuokrasaatavat yms. tulojäämät</t>
        </r>
      </text>
    </comment>
    <comment ref="H44" authorId="0" shapeId="0" xr:uid="{3F0251D2-1CEA-4E87-96B6-A1790C4AF8FC}">
      <text>
        <r>
          <rPr>
            <b/>
            <sz val="9"/>
            <color indexed="81"/>
            <rFont val="Tahoma"/>
            <family val="2"/>
          </rPr>
          <t>Laaksonen Aki:</t>
        </r>
        <r>
          <rPr>
            <sz val="9"/>
            <color indexed="81"/>
            <rFont val="Tahoma"/>
            <family val="2"/>
          </rPr>
          <t xml:space="preserve">
</t>
        </r>
        <r>
          <rPr>
            <b/>
            <u/>
            <sz val="9"/>
            <color indexed="81"/>
            <rFont val="Tahoma"/>
            <family val="2"/>
          </rPr>
          <t>Siirtosaamiset:</t>
        </r>
        <r>
          <rPr>
            <sz val="9"/>
            <color indexed="81"/>
            <rFont val="Tahoma"/>
            <family val="2"/>
          </rPr>
          <t xml:space="preserve">
- ennakkoon maksetut vakuutusmaksut yms. Menoennakot
- vuokrasaatavat yms. tulojäämät</t>
        </r>
      </text>
    </comment>
    <comment ref="I46" authorId="0" shapeId="0" xr:uid="{775F0EF0-B7C9-4887-872C-916F83E779F9}">
      <text>
        <r>
          <rPr>
            <b/>
            <sz val="9"/>
            <color indexed="81"/>
            <rFont val="Tahoma"/>
            <family val="2"/>
          </rPr>
          <t>Laaksonen Aki:</t>
        </r>
        <r>
          <rPr>
            <sz val="9"/>
            <color indexed="81"/>
            <rFont val="Tahoma"/>
            <family val="2"/>
          </rPr>
          <t xml:space="preserve">
</t>
        </r>
        <r>
          <rPr>
            <b/>
            <u/>
            <sz val="9"/>
            <color indexed="81"/>
            <rFont val="Tahoma"/>
            <family val="2"/>
          </rPr>
          <t xml:space="preserve">
Rahat ja pankkisaamiset:</t>
        </r>
        <r>
          <rPr>
            <sz val="9"/>
            <color indexed="81"/>
            <rFont val="Tahoma"/>
            <family val="2"/>
          </rPr>
          <t xml:space="preserve">
Tarkista lopuksi, että solut I46 - L46 ovat yhtä suuret kuin 8 RAHOITUSSUUNNITELMAn solut H38 - K38.</t>
        </r>
      </text>
    </comment>
    <comment ref="J46" authorId="0" shapeId="0" xr:uid="{FAB64671-0BBA-494F-A112-2AAC701B299D}">
      <text>
        <r>
          <rPr>
            <b/>
            <sz val="9"/>
            <color indexed="81"/>
            <rFont val="Tahoma"/>
            <family val="2"/>
          </rPr>
          <t>Laaksonen Aki:</t>
        </r>
        <r>
          <rPr>
            <sz val="9"/>
            <color indexed="81"/>
            <rFont val="Tahoma"/>
            <family val="2"/>
          </rPr>
          <t xml:space="preserve">
</t>
        </r>
        <r>
          <rPr>
            <b/>
            <u/>
            <sz val="9"/>
            <color indexed="81"/>
            <rFont val="Tahoma"/>
            <family val="2"/>
          </rPr>
          <t xml:space="preserve">
Rahat ja pankkisaamiset:</t>
        </r>
        <r>
          <rPr>
            <sz val="9"/>
            <color indexed="81"/>
            <rFont val="Tahoma"/>
            <family val="2"/>
          </rPr>
          <t xml:space="preserve">
Tarkista lopuksi, että solut I46 - L46 ovat yhtä suuret kuin 8 RAHOITUSSUUNNITELMAn solut H38 - K38.</t>
        </r>
      </text>
    </comment>
    <comment ref="K46" authorId="0" shapeId="0" xr:uid="{DC68C72E-8008-4FBD-8AE5-6EF8DAD0CAC0}">
      <text>
        <r>
          <rPr>
            <b/>
            <sz val="9"/>
            <color indexed="81"/>
            <rFont val="Tahoma"/>
            <family val="2"/>
          </rPr>
          <t>Laaksonen Aki:</t>
        </r>
        <r>
          <rPr>
            <sz val="9"/>
            <color indexed="81"/>
            <rFont val="Tahoma"/>
            <family val="2"/>
          </rPr>
          <t xml:space="preserve">
</t>
        </r>
        <r>
          <rPr>
            <b/>
            <u/>
            <sz val="9"/>
            <color indexed="81"/>
            <rFont val="Tahoma"/>
            <family val="2"/>
          </rPr>
          <t xml:space="preserve">
Rahat ja pankkisaamiset:</t>
        </r>
        <r>
          <rPr>
            <sz val="9"/>
            <color indexed="81"/>
            <rFont val="Tahoma"/>
            <family val="2"/>
          </rPr>
          <t xml:space="preserve">
Tarkista lopuksi, että solut I46 - L46 ovat yhtä suuret kuin 8 RAHOITUSSUUNNITELMAn solut H38 - K38.</t>
        </r>
      </text>
    </comment>
    <comment ref="L46" authorId="0" shapeId="0" xr:uid="{5EA667A4-F718-408E-8004-5D43B9B098E2}">
      <text>
        <r>
          <rPr>
            <b/>
            <sz val="9"/>
            <color indexed="81"/>
            <rFont val="Tahoma"/>
            <family val="2"/>
          </rPr>
          <t>Laaksonen Aki:</t>
        </r>
        <r>
          <rPr>
            <sz val="9"/>
            <color indexed="81"/>
            <rFont val="Tahoma"/>
            <family val="2"/>
          </rPr>
          <t xml:space="preserve">
</t>
        </r>
        <r>
          <rPr>
            <b/>
            <u/>
            <sz val="9"/>
            <color indexed="81"/>
            <rFont val="Tahoma"/>
            <family val="2"/>
          </rPr>
          <t xml:space="preserve">
Rahat ja pankkisaamiset:</t>
        </r>
        <r>
          <rPr>
            <sz val="9"/>
            <color indexed="81"/>
            <rFont val="Tahoma"/>
            <family val="2"/>
          </rPr>
          <t xml:space="preserve">
Tarkista lopuksi, että solut I46 - L46 ovat yhtä suuret kuin 8 RAHOITUSSUUNNITELMAn solut H38 - K38.</t>
        </r>
      </text>
    </comment>
    <comment ref="C47" authorId="0" shapeId="0" xr:uid="{F8426AFB-3C3D-4B02-B20A-73F82EE0C304}">
      <text>
        <r>
          <rPr>
            <b/>
            <sz val="9"/>
            <color indexed="81"/>
            <rFont val="Tahoma"/>
            <family val="2"/>
          </rPr>
          <t>Laaksonen Aki:</t>
        </r>
        <r>
          <rPr>
            <sz val="9"/>
            <color indexed="81"/>
            <rFont val="Tahoma"/>
            <family val="2"/>
          </rPr>
          <t xml:space="preserve">
</t>
        </r>
        <r>
          <rPr>
            <b/>
            <u/>
            <sz val="9"/>
            <color indexed="81"/>
            <rFont val="Tahoma"/>
            <family val="2"/>
          </rPr>
          <t>Tarkastus:</t>
        </r>
        <r>
          <rPr>
            <sz val="9"/>
            <color indexed="81"/>
            <rFont val="Tahoma"/>
            <family val="2"/>
          </rPr>
          <t xml:space="preserve">
Rahat ja pankkisaamiset = RAHOITUSSUUNNITELMA Kumulatiivinen yli-/alijäämä
Edellä mainittujen arvojen tulisi olla yhtä suuret. Tällä rivillä pitäisi erotuksen on luku nolla (0).</t>
        </r>
      </text>
    </comment>
    <comment ref="G54" authorId="0" shapeId="0" xr:uid="{752A7287-4AB3-4D9E-AA46-ADADA3183743}">
      <text>
        <r>
          <rPr>
            <b/>
            <sz val="9"/>
            <color indexed="81"/>
            <rFont val="Tahoma"/>
            <family val="2"/>
          </rPr>
          <t>Laaksonen Aki:</t>
        </r>
        <r>
          <rPr>
            <sz val="9"/>
            <color indexed="81"/>
            <rFont val="Tahoma"/>
            <family val="2"/>
          </rPr>
          <t xml:space="preserve">
</t>
        </r>
        <r>
          <rPr>
            <b/>
            <u/>
            <sz val="9"/>
            <color indexed="81"/>
            <rFont val="Tahoma"/>
            <family val="2"/>
          </rPr>
          <t>Osakepääoma tms.:</t>
        </r>
        <r>
          <rPr>
            <sz val="9"/>
            <color indexed="81"/>
            <rFont val="Tahoma"/>
            <family val="2"/>
          </rPr>
          <t xml:space="preserve">
Kirjoita kokonaislukuna ilman senttejä.
Toiminimi-, avoin- ja kommandiittiyhtiössä luku voi sisältää yksityisotot, ja luku voi olla negatiivinen.
</t>
        </r>
      </text>
    </comment>
    <comment ref="H54" authorId="0" shapeId="0" xr:uid="{85047F7F-8365-4A5C-923D-FEBD1283A6EE}">
      <text>
        <r>
          <rPr>
            <b/>
            <sz val="9"/>
            <color indexed="81"/>
            <rFont val="Tahoma"/>
            <family val="2"/>
          </rPr>
          <t>Laaksonen Aki:</t>
        </r>
        <r>
          <rPr>
            <sz val="9"/>
            <color indexed="81"/>
            <rFont val="Tahoma"/>
            <family val="2"/>
          </rPr>
          <t xml:space="preserve">
</t>
        </r>
        <r>
          <rPr>
            <b/>
            <u/>
            <sz val="9"/>
            <color indexed="81"/>
            <rFont val="Tahoma"/>
            <family val="2"/>
          </rPr>
          <t>Osakepääoma tms.:</t>
        </r>
        <r>
          <rPr>
            <sz val="9"/>
            <color indexed="81"/>
            <rFont val="Tahoma"/>
            <family val="2"/>
          </rPr>
          <t xml:space="preserve">
Kirjoita kokonaislukuna ilman senttejä.
Toiminimi-, avoin- ja kommandiittiyhtiössä luku voi sisältää yksityisotot, ja luku voi olla negatiivinen.
</t>
        </r>
      </text>
    </comment>
    <comment ref="I54" authorId="0" shapeId="0" xr:uid="{51F7152A-09ED-4B9E-A6B2-A2EECD7668AE}">
      <text>
        <r>
          <rPr>
            <b/>
            <sz val="9"/>
            <color indexed="81"/>
            <rFont val="Tahoma"/>
            <family val="2"/>
          </rPr>
          <t>Laaksonen Aki:</t>
        </r>
        <r>
          <rPr>
            <sz val="9"/>
            <color indexed="81"/>
            <rFont val="Tahoma"/>
            <family val="2"/>
          </rPr>
          <t xml:space="preserve">
</t>
        </r>
        <r>
          <rPr>
            <b/>
            <u/>
            <sz val="9"/>
            <color indexed="81"/>
            <rFont val="Tahoma"/>
            <family val="2"/>
          </rPr>
          <t>Osakepääoma tms.:</t>
        </r>
        <r>
          <rPr>
            <sz val="9"/>
            <color indexed="81"/>
            <rFont val="Tahoma"/>
            <family val="2"/>
          </rPr>
          <t xml:space="preserve">
Lukuun sisältyy myös pääomalainan akordi.
</t>
        </r>
      </text>
    </comment>
    <comment ref="G56" authorId="0" shapeId="0" xr:uid="{4FC850C1-1944-41AB-864A-BF191A5DD30D}">
      <text>
        <r>
          <rPr>
            <b/>
            <sz val="9"/>
            <color indexed="81"/>
            <rFont val="Tahoma"/>
            <family val="2"/>
          </rPr>
          <t>Laaksonen Aki:</t>
        </r>
        <r>
          <rPr>
            <sz val="9"/>
            <color indexed="81"/>
            <rFont val="Tahoma"/>
            <family val="2"/>
          </rPr>
          <t xml:space="preserve">
</t>
        </r>
        <r>
          <rPr>
            <b/>
            <u/>
            <sz val="9"/>
            <color indexed="81"/>
            <rFont val="Tahoma"/>
            <family val="2"/>
          </rPr>
          <t>Osingonjako, yksityisotot:</t>
        </r>
        <r>
          <rPr>
            <sz val="9"/>
            <color indexed="81"/>
            <rFont val="Tahoma"/>
            <family val="2"/>
          </rPr>
          <t xml:space="preserve">
Jos yksityisottoja ei ole vähennetty valmiiksi kohdasta C.1. tai C.2., voidaan ne vähentää tilikauden "C.2. Edellisten tilikausien voitot" -luvusta.
</t>
        </r>
      </text>
    </comment>
    <comment ref="H56" authorId="0" shapeId="0" xr:uid="{F929F414-99AB-4BC9-B43E-E5194B7A099C}">
      <text>
        <r>
          <rPr>
            <b/>
            <sz val="9"/>
            <color indexed="81"/>
            <rFont val="Tahoma"/>
            <family val="2"/>
          </rPr>
          <t>Laaksonen Aki:</t>
        </r>
        <r>
          <rPr>
            <sz val="9"/>
            <color indexed="81"/>
            <rFont val="Tahoma"/>
            <family val="2"/>
          </rPr>
          <t xml:space="preserve">
</t>
        </r>
        <r>
          <rPr>
            <b/>
            <u/>
            <sz val="9"/>
            <color indexed="81"/>
            <rFont val="Tahoma"/>
            <family val="2"/>
          </rPr>
          <t>Osingonjako, yksityisotot:</t>
        </r>
        <r>
          <rPr>
            <sz val="9"/>
            <color indexed="81"/>
            <rFont val="Tahoma"/>
            <family val="2"/>
          </rPr>
          <t xml:space="preserve">
Jos yksityisottoja ei ole vähennetty valmiiksi kohdasta C.1. tai C.2., voidaan ne vähentää tilikauden "C.2. Edellisten tilikausien voitot" -luvusta.
</t>
        </r>
      </text>
    </comment>
    <comment ref="I56" authorId="0" shapeId="0" xr:uid="{93B31EB6-29C3-454B-8D43-F730A11CCB68}">
      <text>
        <r>
          <rPr>
            <b/>
            <sz val="9"/>
            <color indexed="81"/>
            <rFont val="Tahoma"/>
            <family val="2"/>
          </rPr>
          <t>Laaksonen Aki:</t>
        </r>
        <r>
          <rPr>
            <sz val="9"/>
            <color indexed="81"/>
            <rFont val="Tahoma"/>
            <family val="2"/>
          </rPr>
          <t xml:space="preserve">
</t>
        </r>
        <r>
          <rPr>
            <b/>
            <u/>
            <sz val="9"/>
            <color indexed="81"/>
            <rFont val="Tahoma"/>
            <family val="2"/>
          </rPr>
          <t>Osingonjako, yksityisotot:</t>
        </r>
        <r>
          <rPr>
            <sz val="9"/>
            <color indexed="81"/>
            <rFont val="Tahoma"/>
            <family val="2"/>
          </rPr>
          <t xml:space="preserve">
Luku siirtyy 8 RAHOITUSSUUNNITELMA taulukosta kohdasta 23. Osingonjako/yksityisotot.
Osingon nosto mahdollinen voittovarojen puitteissa. (C.2. Edellisten tilikausien voitot + C.4. Tilikauden voitto/tappio)
</t>
        </r>
      </text>
    </comment>
    <comment ref="G58" authorId="0" shapeId="0" xr:uid="{F690B624-11D0-47AD-A42F-78046A13024B}">
      <text>
        <r>
          <rPr>
            <b/>
            <sz val="9"/>
            <color indexed="81"/>
            <rFont val="Tahoma"/>
            <family val="2"/>
          </rPr>
          <t>Laaksonen Aki:</t>
        </r>
        <r>
          <rPr>
            <sz val="9"/>
            <color indexed="81"/>
            <rFont val="Tahoma"/>
            <family val="2"/>
          </rPr>
          <t xml:space="preserve">
</t>
        </r>
        <r>
          <rPr>
            <b/>
            <u/>
            <sz val="9"/>
            <color indexed="81"/>
            <rFont val="Tahoma"/>
            <family val="2"/>
          </rPr>
          <t>Sijoitetun vapaan pääoman (SVOP) rahasto:</t>
        </r>
        <r>
          <rPr>
            <sz val="9"/>
            <color indexed="81"/>
            <rFont val="Tahoma"/>
            <family val="2"/>
          </rPr>
          <t xml:space="preserve">
Osakepääoman lisäksi voidaan sijoittaa Sijoitetun vapaan pääoman (SVOP) rahastoon oman pääoman ehtoisesti.
</t>
        </r>
      </text>
    </comment>
    <comment ref="H58" authorId="0" shapeId="0" xr:uid="{EB89490A-1C1E-447B-97CE-F7A278AF7AA0}">
      <text>
        <r>
          <rPr>
            <b/>
            <sz val="9"/>
            <color indexed="81"/>
            <rFont val="Tahoma"/>
            <family val="2"/>
          </rPr>
          <t>Laaksonen Aki:</t>
        </r>
        <r>
          <rPr>
            <sz val="9"/>
            <color indexed="81"/>
            <rFont val="Tahoma"/>
            <family val="2"/>
          </rPr>
          <t xml:space="preserve">
</t>
        </r>
        <r>
          <rPr>
            <b/>
            <u/>
            <sz val="9"/>
            <color indexed="81"/>
            <rFont val="Tahoma"/>
            <family val="2"/>
          </rPr>
          <t>Sijoitetun vapaan pääoman (SVOP) rahasto:</t>
        </r>
        <r>
          <rPr>
            <sz val="9"/>
            <color indexed="81"/>
            <rFont val="Tahoma"/>
            <family val="2"/>
          </rPr>
          <t xml:space="preserve">
Osakepääoman lisäksi voidaan sijoittaa Sijoitetun vapaan pääoman (SVOP) rahastoon oman pääoman ehtoisesti.
</t>
        </r>
      </text>
    </comment>
    <comment ref="I58" authorId="0" shapeId="0" xr:uid="{D1B26720-7699-40B1-95C4-E6C7BF0691D6}">
      <text>
        <r>
          <rPr>
            <b/>
            <sz val="9"/>
            <color indexed="81"/>
            <rFont val="Tahoma"/>
            <family val="2"/>
          </rPr>
          <t>Laaksonen Aki:</t>
        </r>
        <r>
          <rPr>
            <sz val="9"/>
            <color indexed="81"/>
            <rFont val="Tahoma"/>
            <family val="2"/>
          </rPr>
          <t xml:space="preserve">
</t>
        </r>
        <r>
          <rPr>
            <b/>
            <u/>
            <sz val="9"/>
            <color indexed="81"/>
            <rFont val="Tahoma"/>
            <family val="2"/>
          </rPr>
          <t>Sijoitetun vapaan pääoman (SVOP) rahasto:</t>
        </r>
        <r>
          <rPr>
            <sz val="9"/>
            <color indexed="81"/>
            <rFont val="Tahoma"/>
            <family val="2"/>
          </rPr>
          <t xml:space="preserve">
Sijoitetun vapaan pääoman (SVOP) lisäys siirtyy tähän taulukosta 1 INVESTOINTISUUNNITELMA kohdasta 12.
SVOP-sijoituksen palautus merkitään soluun lukua pienentämällä.
SVOP-rahaston palautus mahdollinen voittovarojen puitteissa (C.2. Edellisten tilikausien voitot + C.4. Tilikauden voitto/tappio)</t>
        </r>
      </text>
    </comment>
    <comment ref="I60" authorId="0" shapeId="0" xr:uid="{686B8FEB-EDF8-44DA-B149-8FE6A3033D2A}">
      <text>
        <r>
          <rPr>
            <b/>
            <sz val="9"/>
            <color indexed="81"/>
            <rFont val="Tahoma"/>
            <family val="2"/>
          </rPr>
          <t>Laaksonen Aki:</t>
        </r>
        <r>
          <rPr>
            <sz val="9"/>
            <color indexed="81"/>
            <rFont val="Tahoma"/>
            <family val="2"/>
          </rPr>
          <t xml:space="preserve">
</t>
        </r>
        <r>
          <rPr>
            <b/>
            <u/>
            <sz val="9"/>
            <color indexed="81"/>
            <rFont val="Tahoma"/>
            <family val="2"/>
          </rPr>
          <t>Poistoero:</t>
        </r>
        <r>
          <rPr>
            <sz val="9"/>
            <color indexed="81"/>
            <rFont val="Tahoma"/>
            <family val="2"/>
          </rPr>
          <t xml:space="preserve">
Korjaa poistoeron määrän 2 TULOSSUUNNITELMAn kohdan 18 mukaan.
</t>
        </r>
      </text>
    </comment>
    <comment ref="G61" authorId="0" shapeId="0" xr:uid="{2783A5C6-A701-4E95-B437-164901C91972}">
      <text>
        <r>
          <rPr>
            <b/>
            <sz val="9"/>
            <color indexed="81"/>
            <rFont val="Tahoma"/>
            <family val="2"/>
          </rPr>
          <t>Laaksonen Aki:</t>
        </r>
        <r>
          <rPr>
            <sz val="9"/>
            <color indexed="81"/>
            <rFont val="Tahoma"/>
            <family val="2"/>
          </rPr>
          <t xml:space="preserve">
</t>
        </r>
        <r>
          <rPr>
            <b/>
            <sz val="9"/>
            <color indexed="81"/>
            <rFont val="Tahoma"/>
            <family val="2"/>
          </rPr>
          <t xml:space="preserve">
V</t>
        </r>
        <r>
          <rPr>
            <b/>
            <u/>
            <sz val="9"/>
            <color indexed="81"/>
            <rFont val="Tahoma"/>
            <family val="2"/>
          </rPr>
          <t>erotusperusteiset varaukset:</t>
        </r>
        <r>
          <rPr>
            <sz val="9"/>
            <color indexed="81"/>
            <rFont val="Tahoma"/>
            <family val="2"/>
          </rPr>
          <t xml:space="preserve">
Toiminimi, avoin yhtiö ja kommandiittiyhtiö tekevät enintään 30 %:n varaukset maksetuista palkoista.
</t>
        </r>
      </text>
    </comment>
    <comment ref="H61" authorId="0" shapeId="0" xr:uid="{0A480359-7557-4D4E-A522-29EF0B53BB8B}">
      <text>
        <r>
          <rPr>
            <b/>
            <sz val="9"/>
            <color indexed="81"/>
            <rFont val="Tahoma"/>
            <family val="2"/>
          </rPr>
          <t>Laaksonen Aki:</t>
        </r>
        <r>
          <rPr>
            <sz val="9"/>
            <color indexed="81"/>
            <rFont val="Tahoma"/>
            <family val="2"/>
          </rPr>
          <t xml:space="preserve">
</t>
        </r>
        <r>
          <rPr>
            <b/>
            <sz val="9"/>
            <color indexed="81"/>
            <rFont val="Tahoma"/>
            <family val="2"/>
          </rPr>
          <t xml:space="preserve">
V</t>
        </r>
        <r>
          <rPr>
            <b/>
            <u/>
            <sz val="9"/>
            <color indexed="81"/>
            <rFont val="Tahoma"/>
            <family val="2"/>
          </rPr>
          <t>erotusperusteiset varaukset:</t>
        </r>
        <r>
          <rPr>
            <sz val="9"/>
            <color indexed="81"/>
            <rFont val="Tahoma"/>
            <family val="2"/>
          </rPr>
          <t xml:space="preserve">
Toiminimi, avoin yhtiö ja kommandiittiyhtiö tekevät enintään 30 %:n varaukset maksetuista palkoista.
</t>
        </r>
      </text>
    </comment>
    <comment ref="G63" authorId="0" shapeId="0" xr:uid="{750CF838-7DF4-43F2-8AC3-85CCDE34286F}">
      <text>
        <r>
          <rPr>
            <b/>
            <sz val="9"/>
            <color indexed="81"/>
            <rFont val="Tahoma"/>
            <family val="2"/>
          </rPr>
          <t>Laaksonen Aki:</t>
        </r>
        <r>
          <rPr>
            <sz val="9"/>
            <color indexed="81"/>
            <rFont val="Tahoma"/>
            <family val="2"/>
          </rPr>
          <t xml:space="preserve">
</t>
        </r>
        <r>
          <rPr>
            <b/>
            <sz val="9"/>
            <color indexed="81"/>
            <rFont val="Tahoma"/>
            <family val="2"/>
          </rPr>
          <t xml:space="preserve">
</t>
        </r>
        <r>
          <rPr>
            <b/>
            <u/>
            <sz val="9"/>
            <color indexed="81"/>
            <rFont val="Tahoma"/>
            <family val="2"/>
          </rPr>
          <t>Pakolliset varaukset:</t>
        </r>
        <r>
          <rPr>
            <sz val="9"/>
            <color indexed="81"/>
            <rFont val="Tahoma"/>
            <family val="2"/>
          </rPr>
          <t xml:space="preserve">
Tuleva todennäköinen menetys, esim. luottotappio, joka ei ole vielä varmistunut.
</t>
        </r>
      </text>
    </comment>
    <comment ref="H63" authorId="0" shapeId="0" xr:uid="{1730AD71-8C58-4773-BCFF-D961F06A2F92}">
      <text>
        <r>
          <rPr>
            <b/>
            <sz val="9"/>
            <color indexed="81"/>
            <rFont val="Tahoma"/>
            <family val="2"/>
          </rPr>
          <t>Laaksonen Aki:</t>
        </r>
        <r>
          <rPr>
            <sz val="9"/>
            <color indexed="81"/>
            <rFont val="Tahoma"/>
            <family val="2"/>
          </rPr>
          <t xml:space="preserve">
</t>
        </r>
        <r>
          <rPr>
            <b/>
            <sz val="9"/>
            <color indexed="81"/>
            <rFont val="Tahoma"/>
            <family val="2"/>
          </rPr>
          <t xml:space="preserve">
</t>
        </r>
        <r>
          <rPr>
            <b/>
            <u/>
            <sz val="9"/>
            <color indexed="81"/>
            <rFont val="Tahoma"/>
            <family val="2"/>
          </rPr>
          <t>Pakolliset varaukset:</t>
        </r>
        <r>
          <rPr>
            <sz val="9"/>
            <color indexed="81"/>
            <rFont val="Tahoma"/>
            <family val="2"/>
          </rPr>
          <t xml:space="preserve">
Tuleva todennäköinen menetys, esim. luottotappio, joka ei ole vielä varmistunut.
</t>
        </r>
      </text>
    </comment>
    <comment ref="G64" authorId="0" shapeId="0" xr:uid="{3088EE5E-360B-4CC3-89A0-EFA4FB2685D0}">
      <text>
        <r>
          <rPr>
            <b/>
            <sz val="9"/>
            <color indexed="81"/>
            <rFont val="Tahoma"/>
            <family val="2"/>
          </rPr>
          <t>Laaksonen Aki:</t>
        </r>
        <r>
          <rPr>
            <sz val="9"/>
            <color indexed="81"/>
            <rFont val="Tahoma"/>
            <family val="2"/>
          </rPr>
          <t xml:space="preserve">
</t>
        </r>
        <r>
          <rPr>
            <b/>
            <u/>
            <sz val="9"/>
            <color indexed="81"/>
            <rFont val="Tahoma"/>
            <family val="2"/>
          </rPr>
          <t>Pitkäaikainen vieras pääoma:</t>
        </r>
        <r>
          <rPr>
            <sz val="9"/>
            <color indexed="81"/>
            <rFont val="Tahoma"/>
            <family val="2"/>
          </rPr>
          <t xml:space="preserve">
Velka, tai sen osa, joka erääntyy maksettavaksi yhtä vuotta pidempänä aikana.
</t>
        </r>
      </text>
    </comment>
    <comment ref="H64" authorId="0" shapeId="0" xr:uid="{51347861-20CC-433F-8F6F-49BD2182DBD6}">
      <text>
        <r>
          <rPr>
            <b/>
            <sz val="9"/>
            <color indexed="81"/>
            <rFont val="Tahoma"/>
            <family val="2"/>
          </rPr>
          <t>Laaksonen Aki:</t>
        </r>
        <r>
          <rPr>
            <sz val="9"/>
            <color indexed="81"/>
            <rFont val="Tahoma"/>
            <family val="2"/>
          </rPr>
          <t xml:space="preserve">
</t>
        </r>
        <r>
          <rPr>
            <b/>
            <u/>
            <sz val="9"/>
            <color indexed="81"/>
            <rFont val="Tahoma"/>
            <family val="2"/>
          </rPr>
          <t>Pitkäaikainen vieras pääoma:</t>
        </r>
        <r>
          <rPr>
            <sz val="9"/>
            <color indexed="81"/>
            <rFont val="Tahoma"/>
            <family val="2"/>
          </rPr>
          <t xml:space="preserve">
Velka, tai sen osa, joka erääntyy maksettavaksi yhtä vuotta pidempänä aikana.
</t>
        </r>
      </text>
    </comment>
    <comment ref="G65" authorId="0" shapeId="0" xr:uid="{EEA56FAA-22E2-4F51-B619-81D431248AE6}">
      <text>
        <r>
          <rPr>
            <b/>
            <sz val="9"/>
            <color indexed="81"/>
            <rFont val="Tahoma"/>
            <family val="2"/>
          </rPr>
          <t>Laaksonen Aki:</t>
        </r>
        <r>
          <rPr>
            <sz val="9"/>
            <color indexed="81"/>
            <rFont val="Tahoma"/>
            <family val="2"/>
          </rPr>
          <t xml:space="preserve">
</t>
        </r>
        <r>
          <rPr>
            <b/>
            <u/>
            <sz val="9"/>
            <color indexed="81"/>
            <rFont val="Tahoma"/>
            <family val="2"/>
          </rPr>
          <t xml:space="preserve">
Lainat rahoituslaitoksilta:</t>
        </r>
        <r>
          <rPr>
            <sz val="9"/>
            <color indexed="81"/>
            <rFont val="Tahoma"/>
            <family val="2"/>
          </rPr>
          <t xml:space="preserve">
Velka tai sen osa, joka erääntyy maksettavaksi yhtä vuotta pidempänä aikana.
Sisältää myös eläkelainat ja muut saadut velkakirjalainat.
</t>
        </r>
        <r>
          <rPr>
            <b/>
            <sz val="9"/>
            <color indexed="81"/>
            <rFont val="Tahoma"/>
            <family val="2"/>
          </rPr>
          <t xml:space="preserve">Varmista, että luku on ilman seuraavan vuoden lyhennystä!
</t>
        </r>
      </text>
    </comment>
    <comment ref="H65" authorId="0" shapeId="0" xr:uid="{08ED37BC-8E51-440A-9319-4248108E72F5}">
      <text>
        <r>
          <rPr>
            <b/>
            <sz val="9"/>
            <color indexed="81"/>
            <rFont val="Tahoma"/>
            <family val="2"/>
          </rPr>
          <t>Laaksonen Aki:</t>
        </r>
        <r>
          <rPr>
            <sz val="9"/>
            <color indexed="81"/>
            <rFont val="Tahoma"/>
            <family val="2"/>
          </rPr>
          <t xml:space="preserve">
</t>
        </r>
        <r>
          <rPr>
            <b/>
            <u/>
            <sz val="9"/>
            <color indexed="81"/>
            <rFont val="Tahoma"/>
            <family val="2"/>
          </rPr>
          <t xml:space="preserve">
Lainat rahoituslaitoksilta:</t>
        </r>
        <r>
          <rPr>
            <sz val="9"/>
            <color indexed="81"/>
            <rFont val="Tahoma"/>
            <family val="2"/>
          </rPr>
          <t xml:space="preserve">
Velka tai sen osa, joka erääntyy maksettavaksi yhtä vuotta pidempänä aikana.
Sisältää myös eläkelainat ja muut saadut velkakirjalainat.
</t>
        </r>
        <r>
          <rPr>
            <b/>
            <sz val="9"/>
            <color indexed="81"/>
            <rFont val="Tahoma"/>
            <family val="2"/>
          </rPr>
          <t xml:space="preserve">Varmista, että luku on ilman seuraavan vuoden lyhennystä!
</t>
        </r>
      </text>
    </comment>
    <comment ref="I66" authorId="0" shapeId="0" xr:uid="{9374C3D5-81E3-4924-A9BA-630C07976A62}">
      <text>
        <r>
          <rPr>
            <b/>
            <sz val="9"/>
            <color indexed="81"/>
            <rFont val="Tahoma"/>
            <family val="2"/>
          </rPr>
          <t>Laaksonen Aki:</t>
        </r>
        <r>
          <rPr>
            <sz val="9"/>
            <color indexed="81"/>
            <rFont val="Tahoma"/>
            <family val="2"/>
          </rPr>
          <t xml:space="preserve">
</t>
        </r>
        <r>
          <rPr>
            <b/>
            <u/>
            <sz val="9"/>
            <color indexed="81"/>
            <rFont val="Tahoma"/>
            <family val="2"/>
          </rPr>
          <t>Pääomalainat:</t>
        </r>
        <r>
          <rPr>
            <sz val="9"/>
            <color indexed="81"/>
            <rFont val="Tahoma"/>
            <family val="2"/>
          </rPr>
          <t xml:space="preserve">
Laskee pääomalainan lisäyksen taulukosta 1 INVESTOINTISUUNNITELMA kohdasta 13.
Lisää korkoprosentti taulukkoon 4 LAINAT, rivi 48 "Pääomalainojen korot".</t>
        </r>
      </text>
    </comment>
    <comment ref="J66" authorId="0" shapeId="0" xr:uid="{4CA7D983-6FDB-42FE-8F06-94933A969E4F}">
      <text>
        <r>
          <rPr>
            <b/>
            <sz val="9"/>
            <color indexed="81"/>
            <rFont val="Tahoma"/>
            <family val="2"/>
          </rPr>
          <t>Laaksonen Aki:</t>
        </r>
        <r>
          <rPr>
            <sz val="9"/>
            <color indexed="81"/>
            <rFont val="Tahoma"/>
            <family val="2"/>
          </rPr>
          <t xml:space="preserve">
</t>
        </r>
        <r>
          <rPr>
            <b/>
            <u/>
            <sz val="9"/>
            <color indexed="81"/>
            <rFont val="Tahoma"/>
            <family val="2"/>
          </rPr>
          <t>Pääomalainat:</t>
        </r>
        <r>
          <rPr>
            <sz val="9"/>
            <color indexed="81"/>
            <rFont val="Tahoma"/>
            <family val="2"/>
          </rPr>
          <t xml:space="preserve">
Laskee pääomalainan lisäyksen taulukosta 1 INVESTOINTISUUNNITELMA kohdasta 13.
Pääomalainan väheneminen merkitään suoraan soluun.
Luku on saldo tilikauden lopussa.</t>
        </r>
      </text>
    </comment>
    <comment ref="I67" authorId="0" shapeId="0" xr:uid="{E254B279-2E65-44D5-BDD7-9E7CD4BC4121}">
      <text>
        <r>
          <rPr>
            <b/>
            <sz val="9"/>
            <color indexed="81"/>
            <rFont val="Tahoma"/>
            <family val="2"/>
          </rPr>
          <t>Laaksonen Aki:</t>
        </r>
        <r>
          <rPr>
            <sz val="9"/>
            <color indexed="81"/>
            <rFont val="Tahoma"/>
            <family val="2"/>
          </rPr>
          <t xml:space="preserve">
</t>
        </r>
        <r>
          <rPr>
            <b/>
            <u/>
            <sz val="9"/>
            <color indexed="81"/>
            <rFont val="Tahoma"/>
            <family val="2"/>
          </rPr>
          <t>Pääomalainan akordi:</t>
        </r>
        <r>
          <rPr>
            <sz val="9"/>
            <color indexed="81"/>
            <rFont val="Tahoma"/>
            <family val="2"/>
          </rPr>
          <t xml:space="preserve">
Tarkoitetaan pääomalainan konvertointia/muuttamista osakepääomaksi (akordi).</t>
        </r>
      </text>
    </comment>
    <comment ref="G69" authorId="0" shapeId="0" xr:uid="{F6184B9E-EFAE-4CA7-A007-A79F23492B16}">
      <text>
        <r>
          <rPr>
            <b/>
            <sz val="9"/>
            <color indexed="81"/>
            <rFont val="Tahoma"/>
            <family val="2"/>
          </rPr>
          <t>Laaksonen Aki:</t>
        </r>
        <r>
          <rPr>
            <sz val="9"/>
            <color indexed="81"/>
            <rFont val="Tahoma"/>
            <family val="2"/>
          </rPr>
          <t xml:space="preserve">
</t>
        </r>
        <r>
          <rPr>
            <b/>
            <u/>
            <sz val="9"/>
            <color indexed="81"/>
            <rFont val="Tahoma"/>
            <family val="2"/>
          </rPr>
          <t xml:space="preserve">
Ostovelat:</t>
        </r>
        <r>
          <rPr>
            <sz val="9"/>
            <color indexed="81"/>
            <rFont val="Tahoma"/>
            <family val="2"/>
          </rPr>
          <t xml:space="preserve">
Pitkäaikainen yli vuoden päästä maksettavan ostovelan saldo. </t>
        </r>
        <r>
          <rPr>
            <b/>
            <sz val="9"/>
            <color indexed="81"/>
            <rFont val="Tahoma"/>
            <family val="2"/>
          </rPr>
          <t xml:space="preserve">
</t>
        </r>
      </text>
    </comment>
    <comment ref="H69" authorId="0" shapeId="0" xr:uid="{C1024E54-7BF8-44B2-A806-93D85F7E8B93}">
      <text>
        <r>
          <rPr>
            <b/>
            <sz val="9"/>
            <color indexed="81"/>
            <rFont val="Tahoma"/>
            <family val="2"/>
          </rPr>
          <t>Laaksonen Aki:</t>
        </r>
        <r>
          <rPr>
            <sz val="9"/>
            <color indexed="81"/>
            <rFont val="Tahoma"/>
            <family val="2"/>
          </rPr>
          <t xml:space="preserve">
</t>
        </r>
        <r>
          <rPr>
            <b/>
            <u/>
            <sz val="9"/>
            <color indexed="81"/>
            <rFont val="Tahoma"/>
            <family val="2"/>
          </rPr>
          <t xml:space="preserve">
Ostovelat:</t>
        </r>
        <r>
          <rPr>
            <sz val="9"/>
            <color indexed="81"/>
            <rFont val="Tahoma"/>
            <family val="2"/>
          </rPr>
          <t xml:space="preserve">
Pitkäaikainen yli vuoden päästä maksettavan ostovelan saldo. </t>
        </r>
        <r>
          <rPr>
            <b/>
            <sz val="9"/>
            <color indexed="81"/>
            <rFont val="Tahoma"/>
            <family val="2"/>
          </rPr>
          <t xml:space="preserve">
</t>
        </r>
      </text>
    </comment>
    <comment ref="G70" authorId="0" shapeId="0" xr:uid="{17E41CA4-6052-427B-A84F-2092DD92E3AB}">
      <text>
        <r>
          <rPr>
            <b/>
            <sz val="9"/>
            <color indexed="81"/>
            <rFont val="Tahoma"/>
            <family val="2"/>
          </rPr>
          <t>Laaksonen Aki:</t>
        </r>
        <r>
          <rPr>
            <sz val="9"/>
            <color indexed="81"/>
            <rFont val="Tahoma"/>
            <family val="2"/>
          </rPr>
          <t xml:space="preserve">
</t>
        </r>
        <r>
          <rPr>
            <b/>
            <u/>
            <sz val="9"/>
            <color indexed="81"/>
            <rFont val="Tahoma"/>
            <family val="2"/>
          </rPr>
          <t xml:space="preserve">
Osamaksuvelat:</t>
        </r>
        <r>
          <rPr>
            <sz val="9"/>
            <color indexed="81"/>
            <rFont val="Tahoma"/>
            <family val="2"/>
          </rPr>
          <t xml:space="preserve">
Pitkäaikainen osamaksuvelka ilman seuraavan vuoden lyhennystä.</t>
        </r>
        <r>
          <rPr>
            <b/>
            <sz val="9"/>
            <color indexed="81"/>
            <rFont val="Tahoma"/>
            <family val="2"/>
          </rPr>
          <t xml:space="preserve">
</t>
        </r>
      </text>
    </comment>
    <comment ref="H70" authorId="0" shapeId="0" xr:uid="{B7DE80C4-F324-4F88-8B3A-E7AAC3D3B8D0}">
      <text>
        <r>
          <rPr>
            <b/>
            <sz val="9"/>
            <color indexed="81"/>
            <rFont val="Tahoma"/>
            <family val="2"/>
          </rPr>
          <t>Laaksonen Aki:</t>
        </r>
        <r>
          <rPr>
            <sz val="9"/>
            <color indexed="81"/>
            <rFont val="Tahoma"/>
            <family val="2"/>
          </rPr>
          <t xml:space="preserve">
</t>
        </r>
        <r>
          <rPr>
            <b/>
            <u/>
            <sz val="9"/>
            <color indexed="81"/>
            <rFont val="Tahoma"/>
            <family val="2"/>
          </rPr>
          <t xml:space="preserve">
Osamaksuvelat:</t>
        </r>
        <r>
          <rPr>
            <sz val="9"/>
            <color indexed="81"/>
            <rFont val="Tahoma"/>
            <family val="2"/>
          </rPr>
          <t xml:space="preserve">
Nykyinen pitkäaikainen (päättyy yli vuoden päästä) osamaksuvelka ilman seuraavan vuoden lyhennystä.</t>
        </r>
        <r>
          <rPr>
            <b/>
            <sz val="9"/>
            <color indexed="81"/>
            <rFont val="Tahoma"/>
            <family val="2"/>
          </rPr>
          <t xml:space="preserve">
</t>
        </r>
      </text>
    </comment>
    <comment ref="G71" authorId="0" shapeId="0" xr:uid="{EE41086B-C080-47C8-90A5-433182229915}">
      <text>
        <r>
          <rPr>
            <b/>
            <sz val="9"/>
            <color indexed="81"/>
            <rFont val="Tahoma"/>
            <family val="2"/>
          </rPr>
          <t>Laaksonen Aki:</t>
        </r>
        <r>
          <rPr>
            <sz val="9"/>
            <color indexed="81"/>
            <rFont val="Tahoma"/>
            <family val="2"/>
          </rPr>
          <t xml:space="preserve">
</t>
        </r>
        <r>
          <rPr>
            <b/>
            <u/>
            <sz val="9"/>
            <color indexed="81"/>
            <rFont val="Tahoma"/>
            <family val="2"/>
          </rPr>
          <t xml:space="preserve">
Muut pitkäaikaiset velat:</t>
        </r>
        <r>
          <rPr>
            <sz val="9"/>
            <color indexed="81"/>
            <rFont val="Tahoma"/>
            <family val="2"/>
          </rPr>
          <t xml:space="preserve">
Ilman velkakirjaa omistajilta, työntekijöiltä ja muilta yksityisiltä saatujen velkojen yhteissaldo merkitään tähän. </t>
        </r>
        <r>
          <rPr>
            <b/>
            <sz val="9"/>
            <color indexed="81"/>
            <rFont val="Tahoma"/>
            <family val="2"/>
          </rPr>
          <t xml:space="preserve">
</t>
        </r>
        <r>
          <rPr>
            <sz val="9"/>
            <color indexed="81"/>
            <rFont val="Tahoma"/>
            <family val="2"/>
          </rPr>
          <t xml:space="preserve">
Velkakirjalainat merkitään taulukkoon 4 LAINAT "Nykyiset pitkäaikaiset lainat".</t>
        </r>
      </text>
    </comment>
    <comment ref="H71" authorId="0" shapeId="0" xr:uid="{8B88D6FD-4E37-4512-A6ED-0C853B2EB2CA}">
      <text>
        <r>
          <rPr>
            <b/>
            <sz val="9"/>
            <color indexed="81"/>
            <rFont val="Tahoma"/>
            <family val="2"/>
          </rPr>
          <t>Laaksonen Aki:</t>
        </r>
        <r>
          <rPr>
            <sz val="9"/>
            <color indexed="81"/>
            <rFont val="Tahoma"/>
            <family val="2"/>
          </rPr>
          <t xml:space="preserve">
</t>
        </r>
        <r>
          <rPr>
            <b/>
            <u/>
            <sz val="9"/>
            <color indexed="81"/>
            <rFont val="Tahoma"/>
            <family val="2"/>
          </rPr>
          <t xml:space="preserve">
Muut pitkäaikaiset velat:</t>
        </r>
        <r>
          <rPr>
            <sz val="9"/>
            <color indexed="81"/>
            <rFont val="Tahoma"/>
            <family val="2"/>
          </rPr>
          <t xml:space="preserve">
Ilman velkakirjaa omistajilta, työntekijöiltä ja muilta yksityisiltä saatujen velkojen yhteissaldo merkitään tähän. </t>
        </r>
        <r>
          <rPr>
            <b/>
            <sz val="9"/>
            <color indexed="81"/>
            <rFont val="Tahoma"/>
            <family val="2"/>
          </rPr>
          <t xml:space="preserve">
</t>
        </r>
        <r>
          <rPr>
            <sz val="9"/>
            <color indexed="81"/>
            <rFont val="Tahoma"/>
            <family val="2"/>
          </rPr>
          <t xml:space="preserve">
Velkakirjalainat merkitään taulukkoon 4 LAINAT "Nykyiset pitkäaikaiset lainat".</t>
        </r>
      </text>
    </comment>
    <comment ref="I71" authorId="0" shapeId="0" xr:uid="{62C92837-E8CE-4DFE-839F-03D3AA7528FB}">
      <text>
        <r>
          <rPr>
            <b/>
            <sz val="9"/>
            <color indexed="81"/>
            <rFont val="Tahoma"/>
            <family val="2"/>
          </rPr>
          <t>Laaksonen Aki:</t>
        </r>
        <r>
          <rPr>
            <sz val="9"/>
            <color indexed="81"/>
            <rFont val="Tahoma"/>
            <family val="2"/>
          </rPr>
          <t xml:space="preserve">
</t>
        </r>
        <r>
          <rPr>
            <b/>
            <u/>
            <sz val="9"/>
            <color indexed="81"/>
            <rFont val="Tahoma"/>
            <family val="2"/>
          </rPr>
          <t xml:space="preserve">
Muut pitkäaikaiset velat:</t>
        </r>
        <r>
          <rPr>
            <sz val="9"/>
            <color indexed="81"/>
            <rFont val="Tahoma"/>
            <family val="2"/>
          </rPr>
          <t xml:space="preserve">
Ilman velkakirjaa omistajilta, työntekijöiltä ja muilta yksityisiltä saatujen velkojen yhteissaldo tilikauden lopussa merkitään tähän.
Lisää korkoprosentti taulukkoon 4 LAINAT riville 49.</t>
        </r>
        <r>
          <rPr>
            <b/>
            <sz val="9"/>
            <color indexed="81"/>
            <rFont val="Tahoma"/>
            <family val="2"/>
          </rPr>
          <t xml:space="preserve">
</t>
        </r>
        <r>
          <rPr>
            <sz val="9"/>
            <color indexed="81"/>
            <rFont val="Tahoma"/>
            <family val="2"/>
          </rPr>
          <t xml:space="preserve">
Velkakirjalainat merkitään taulukkoon 4 LAINAT "Uudet pitkäaikaiset lainat".</t>
        </r>
      </text>
    </comment>
    <comment ref="J71" authorId="0" shapeId="0" xr:uid="{3B2FA572-EFA4-44B7-A1ED-2991773783B1}">
      <text>
        <r>
          <rPr>
            <b/>
            <sz val="9"/>
            <color indexed="81"/>
            <rFont val="Tahoma"/>
            <family val="2"/>
          </rPr>
          <t>Laaksonen Aki:</t>
        </r>
        <r>
          <rPr>
            <sz val="9"/>
            <color indexed="81"/>
            <rFont val="Tahoma"/>
            <family val="2"/>
          </rPr>
          <t xml:space="preserve">
</t>
        </r>
        <r>
          <rPr>
            <b/>
            <u/>
            <sz val="9"/>
            <color indexed="81"/>
            <rFont val="Tahoma"/>
            <family val="2"/>
          </rPr>
          <t xml:space="preserve">
Muut pitkäaikaiset velat:</t>
        </r>
        <r>
          <rPr>
            <sz val="9"/>
            <color indexed="81"/>
            <rFont val="Tahoma"/>
            <family val="2"/>
          </rPr>
          <t xml:space="preserve">
Ilman velkakirjaa omistajilta, työntekijöiltä ja muilta yksityisiltä saatujen velkojen yhteissaldo tilikauden lopussa merkitään tähän.
Lisää korkoprosentti taulukkoon 4 LAINAT riville 49.</t>
        </r>
        <r>
          <rPr>
            <b/>
            <sz val="9"/>
            <color indexed="81"/>
            <rFont val="Tahoma"/>
            <family val="2"/>
          </rPr>
          <t xml:space="preserve">
</t>
        </r>
        <r>
          <rPr>
            <sz val="9"/>
            <color indexed="81"/>
            <rFont val="Tahoma"/>
            <family val="2"/>
          </rPr>
          <t xml:space="preserve">
Velkakirjalainat merkitään taulukkoon 4 LAINAT "Uudet pitkäaikaiset lainat".</t>
        </r>
      </text>
    </comment>
    <comment ref="G74" authorId="0" shapeId="0" xr:uid="{2E71CEC1-B1F6-446F-BC8A-BE8E95372642}">
      <text>
        <r>
          <rPr>
            <b/>
            <sz val="9"/>
            <color indexed="81"/>
            <rFont val="Tahoma"/>
            <family val="2"/>
          </rPr>
          <t>Laaksonen Aki:</t>
        </r>
        <r>
          <rPr>
            <sz val="9"/>
            <color indexed="81"/>
            <rFont val="Tahoma"/>
            <family val="2"/>
          </rPr>
          <t xml:space="preserve">
</t>
        </r>
        <r>
          <rPr>
            <b/>
            <u/>
            <sz val="9"/>
            <color indexed="81"/>
            <rFont val="Tahoma"/>
            <family val="2"/>
          </rPr>
          <t>Pitkäaikaisten lainojen lyhennykset:</t>
        </r>
        <r>
          <rPr>
            <sz val="9"/>
            <color indexed="81"/>
            <rFont val="Tahoma"/>
            <family val="2"/>
          </rPr>
          <t xml:space="preserve">
Nykyisten pitkäaikaisten lainojen (päättyy yli vuoden päästä) </t>
        </r>
        <r>
          <rPr>
            <b/>
            <sz val="9"/>
            <color indexed="81"/>
            <rFont val="Tahoma"/>
            <family val="2"/>
          </rPr>
          <t>seuraavan tilikauden lainanlyhennys</t>
        </r>
        <r>
          <rPr>
            <sz val="9"/>
            <color indexed="81"/>
            <rFont val="Tahoma"/>
            <family val="2"/>
          </rPr>
          <t>.</t>
        </r>
      </text>
    </comment>
    <comment ref="H74" authorId="0" shapeId="0" xr:uid="{A6D875D8-CAA4-446A-9E35-D876C2D9B8F7}">
      <text>
        <r>
          <rPr>
            <b/>
            <sz val="9"/>
            <color indexed="81"/>
            <rFont val="Tahoma"/>
            <family val="2"/>
          </rPr>
          <t>Laaksonen Aki:</t>
        </r>
        <r>
          <rPr>
            <sz val="9"/>
            <color indexed="81"/>
            <rFont val="Tahoma"/>
            <family val="2"/>
          </rPr>
          <t xml:space="preserve">
</t>
        </r>
        <r>
          <rPr>
            <b/>
            <u/>
            <sz val="9"/>
            <color indexed="81"/>
            <rFont val="Tahoma"/>
            <family val="2"/>
          </rPr>
          <t>Pitkäaikaisten lainojen lyhennykset:</t>
        </r>
        <r>
          <rPr>
            <sz val="9"/>
            <color indexed="81"/>
            <rFont val="Tahoma"/>
            <family val="2"/>
          </rPr>
          <t xml:space="preserve">
Nykyisten pitkäaikaisten lainojen (päättyy yli vuoden päästä) </t>
        </r>
        <r>
          <rPr>
            <b/>
            <sz val="9"/>
            <color indexed="81"/>
            <rFont val="Tahoma"/>
            <family val="2"/>
          </rPr>
          <t>seuraavan tilikauden lainanlyhennys</t>
        </r>
        <r>
          <rPr>
            <sz val="9"/>
            <color indexed="81"/>
            <rFont val="Tahoma"/>
            <family val="2"/>
          </rPr>
          <t>.</t>
        </r>
      </text>
    </comment>
    <comment ref="I74" authorId="0" shapeId="0" xr:uid="{420620A5-0B17-4071-BFFF-AD29D69579A5}">
      <text>
        <r>
          <rPr>
            <b/>
            <sz val="9"/>
            <color indexed="81"/>
            <rFont val="Tahoma"/>
            <family val="2"/>
          </rPr>
          <t>Laaksonen Aki:</t>
        </r>
        <r>
          <rPr>
            <sz val="9"/>
            <color indexed="81"/>
            <rFont val="Tahoma"/>
            <family val="2"/>
          </rPr>
          <t xml:space="preserve">
</t>
        </r>
        <r>
          <rPr>
            <b/>
            <u/>
            <sz val="9"/>
            <color indexed="81"/>
            <rFont val="Tahoma"/>
            <family val="2"/>
          </rPr>
          <t>Pitkäaikaisten lainojen lyhennykset:</t>
        </r>
        <r>
          <rPr>
            <sz val="9"/>
            <color indexed="81"/>
            <rFont val="Tahoma"/>
            <family val="2"/>
          </rPr>
          <t xml:space="preserve">
Huom! Jos poistot ovat pienemmät kuin lainojen lyhennykset, maksaa yritys veroa lainanlyhennyksistään!</t>
        </r>
      </text>
    </comment>
    <comment ref="G75" authorId="0" shapeId="0" xr:uid="{5D39A891-D4AE-4396-A09F-54551BFCBCFD}">
      <text>
        <r>
          <rPr>
            <b/>
            <sz val="9"/>
            <color indexed="81"/>
            <rFont val="Tahoma"/>
            <family val="2"/>
          </rPr>
          <t>Laaksonen Aki:</t>
        </r>
        <r>
          <rPr>
            <sz val="9"/>
            <color indexed="81"/>
            <rFont val="Tahoma"/>
            <family val="2"/>
          </rPr>
          <t xml:space="preserve">
</t>
        </r>
        <r>
          <rPr>
            <b/>
            <u/>
            <sz val="9"/>
            <color indexed="81"/>
            <rFont val="Tahoma"/>
            <family val="2"/>
          </rPr>
          <t>Lyhytaikaiset rahalaitoslainat:</t>
        </r>
        <r>
          <rPr>
            <sz val="9"/>
            <color indexed="81"/>
            <rFont val="Tahoma"/>
            <family val="2"/>
          </rPr>
          <t xml:space="preserve">
Lyhytaikaisen rahalaitoslainan saldo tilikauden lopussa (ei pitkäaikaisten lainojen lyhennyserät). Pääoman muutokset siirtyvät 8 RAHOITUSSUUNNITELMAan.
Lisää korkoprosentti taulukkoon 4 LAINAT, rivi 47.</t>
        </r>
      </text>
    </comment>
    <comment ref="H75" authorId="0" shapeId="0" xr:uid="{8343E234-FCD9-4F53-A289-33437CD74964}">
      <text>
        <r>
          <rPr>
            <b/>
            <sz val="9"/>
            <color indexed="81"/>
            <rFont val="Tahoma"/>
            <family val="2"/>
          </rPr>
          <t>Laaksonen Aki:</t>
        </r>
        <r>
          <rPr>
            <sz val="9"/>
            <color indexed="81"/>
            <rFont val="Tahoma"/>
            <family val="2"/>
          </rPr>
          <t xml:space="preserve">
</t>
        </r>
        <r>
          <rPr>
            <b/>
            <u/>
            <sz val="9"/>
            <color indexed="81"/>
            <rFont val="Tahoma"/>
            <family val="2"/>
          </rPr>
          <t>Lyhytaikaiset rahalaitoslainat:</t>
        </r>
        <r>
          <rPr>
            <sz val="9"/>
            <color indexed="81"/>
            <rFont val="Tahoma"/>
            <family val="2"/>
          </rPr>
          <t xml:space="preserve">
Lyhytaikaisen rahalaitoslainan saldo tilikauden lopussa (ei pitkäaikaisten lainojen lyhennyserät). Pääoman muutokset siirtyvät 8 RAHOITUSSUUNNITELMAan.
Lisää korkoprosentti taulukkoon 4 LAINAT, rivi 47.</t>
        </r>
      </text>
    </comment>
    <comment ref="I75" authorId="0" shapeId="0" xr:uid="{2F57533B-3712-4375-BFCE-E6F916C2948C}">
      <text>
        <r>
          <rPr>
            <b/>
            <sz val="9"/>
            <color indexed="81"/>
            <rFont val="Tahoma"/>
            <family val="2"/>
          </rPr>
          <t>Laaksonen Aki:</t>
        </r>
        <r>
          <rPr>
            <sz val="9"/>
            <color indexed="81"/>
            <rFont val="Tahoma"/>
            <family val="2"/>
          </rPr>
          <t xml:space="preserve">
</t>
        </r>
        <r>
          <rPr>
            <b/>
            <u/>
            <sz val="9"/>
            <color indexed="81"/>
            <rFont val="Tahoma"/>
            <family val="2"/>
          </rPr>
          <t>Lyhytaikaiset rahalaitoslainat:</t>
        </r>
        <r>
          <rPr>
            <sz val="9"/>
            <color indexed="81"/>
            <rFont val="Tahoma"/>
            <family val="2"/>
          </rPr>
          <t xml:space="preserve">
Lyhytaikaisen rahalaitoslainan saldo tilikauden lopussa (ei pitkäaikaisten lainojen lyhennyserät). Pääoman muutokset siirtyvät 8 RAHOITUSSUUNNITELMAan.
Lisää korkoprosentti taulukkoon 4 LAINAT, rivi 47.</t>
        </r>
      </text>
    </comment>
    <comment ref="I76" authorId="0" shapeId="0" xr:uid="{CD9EE9B6-D7D7-49AC-A544-3769E6B5D0A7}">
      <text>
        <r>
          <rPr>
            <b/>
            <sz val="9"/>
            <color indexed="81"/>
            <rFont val="Tahoma"/>
            <family val="2"/>
          </rPr>
          <t>Laaksonen Aki:</t>
        </r>
        <r>
          <rPr>
            <sz val="9"/>
            <color indexed="81"/>
            <rFont val="Tahoma"/>
            <family val="2"/>
          </rPr>
          <t xml:space="preserve">
</t>
        </r>
        <r>
          <rPr>
            <b/>
            <u/>
            <sz val="9"/>
            <color indexed="81"/>
            <rFont val="Tahoma"/>
            <family val="2"/>
          </rPr>
          <t>Pääomalainat:</t>
        </r>
        <r>
          <rPr>
            <sz val="9"/>
            <color indexed="81"/>
            <rFont val="Tahoma"/>
            <family val="2"/>
          </rPr>
          <t xml:space="preserve">
Lyhytaikaisen pääomalainan saldo tilikauden lopussa merkitään suoraan soluun.
Pääoman muutokset siirtyvät 8 RAHOITUSSUUNNITELMAan.
Lisää korkoprosentti 4 LAINAT, riville 48.</t>
        </r>
      </text>
    </comment>
    <comment ref="C79" authorId="0" shapeId="0" xr:uid="{293D1068-6078-468A-8E91-C5819AC66C35}">
      <text>
        <r>
          <rPr>
            <b/>
            <sz val="9"/>
            <color indexed="81"/>
            <rFont val="Tahoma"/>
            <family val="2"/>
          </rPr>
          <t>Laaksonen Aki:</t>
        </r>
        <r>
          <rPr>
            <sz val="9"/>
            <color indexed="81"/>
            <rFont val="Tahoma"/>
            <family val="2"/>
          </rPr>
          <t xml:space="preserve">
</t>
        </r>
        <r>
          <rPr>
            <b/>
            <u/>
            <sz val="9"/>
            <color indexed="81"/>
            <rFont val="Tahoma"/>
            <family val="2"/>
          </rPr>
          <t>Ostovelkojen kiertonopeus (pv):</t>
        </r>
        <r>
          <rPr>
            <sz val="9"/>
            <color indexed="81"/>
            <rFont val="Tahoma"/>
            <family val="2"/>
          </rPr>
          <t xml:space="preserve">
Luku kertoo, kuinka nopeasti yritys maksaa laskunsa.
</t>
        </r>
        <r>
          <rPr>
            <b/>
            <sz val="9"/>
            <color indexed="81"/>
            <rFont val="Tahoma"/>
            <family val="2"/>
          </rPr>
          <t>Laskukaava:</t>
        </r>
        <r>
          <rPr>
            <sz val="9"/>
            <color indexed="81"/>
            <rFont val="Tahoma"/>
            <family val="2"/>
          </rPr>
          <t xml:space="preserve">
(ostovelat / tilikauden ostot) x 365</t>
        </r>
      </text>
    </comment>
    <comment ref="G79" authorId="0" shapeId="0" xr:uid="{D55FA08A-85F9-45EC-B585-DBC62D480530}">
      <text>
        <r>
          <rPr>
            <b/>
            <sz val="9"/>
            <color indexed="81"/>
            <rFont val="Tahoma"/>
            <family val="2"/>
          </rPr>
          <t>Laaksonen Aki:</t>
        </r>
        <r>
          <rPr>
            <sz val="9"/>
            <color indexed="81"/>
            <rFont val="Tahoma"/>
            <family val="2"/>
          </rPr>
          <t xml:space="preserve">
Luku siirtyy riviltä 52 taulukosta 8 RAHOITUSSUUNNITELMA</t>
        </r>
      </text>
    </comment>
    <comment ref="H79" authorId="0" shapeId="0" xr:uid="{33AB5FC6-8FDC-478E-8CE8-976BE3135F80}">
      <text>
        <r>
          <rPr>
            <b/>
            <sz val="9"/>
            <color indexed="81"/>
            <rFont val="Tahoma"/>
            <family val="2"/>
          </rPr>
          <t>Laaksonen Aki:</t>
        </r>
        <r>
          <rPr>
            <sz val="9"/>
            <color indexed="81"/>
            <rFont val="Tahoma"/>
            <family val="2"/>
          </rPr>
          <t xml:space="preserve">
Luku siirtyy riviltä 52 taulukosta 8 RAHOITUSSUUNNITELMA</t>
        </r>
      </text>
    </comment>
    <comment ref="I79" authorId="0" shapeId="0" xr:uid="{456E6F21-8908-47B7-A4CC-793B2515D63B}">
      <text>
        <r>
          <rPr>
            <b/>
            <sz val="9"/>
            <color indexed="81"/>
            <rFont val="Tahoma"/>
            <family val="2"/>
          </rPr>
          <t>Laaksonen Aki:</t>
        </r>
        <r>
          <rPr>
            <sz val="9"/>
            <color indexed="81"/>
            <rFont val="Tahoma"/>
            <family val="2"/>
          </rPr>
          <t xml:space="preserve">
Luku siirtyy riviltä 52 taulukosta 8 RAHOITUSSUUNNITELMA</t>
        </r>
      </text>
    </comment>
    <comment ref="G80" authorId="0" shapeId="0" xr:uid="{3DEA19C3-6CC7-4843-B629-48A594A680FF}">
      <text>
        <r>
          <rPr>
            <b/>
            <sz val="9"/>
            <color indexed="81"/>
            <rFont val="Tahoma"/>
            <family val="2"/>
          </rPr>
          <t>Laaksonen Aki:</t>
        </r>
        <r>
          <rPr>
            <sz val="9"/>
            <color indexed="81"/>
            <rFont val="Tahoma"/>
            <family val="2"/>
          </rPr>
          <t xml:space="preserve">
</t>
        </r>
        <r>
          <rPr>
            <b/>
            <u/>
            <sz val="9"/>
            <color indexed="81"/>
            <rFont val="Tahoma"/>
            <family val="2"/>
          </rPr>
          <t>Pitkäaikaisen osamaksuvelan lyhennys:</t>
        </r>
        <r>
          <rPr>
            <sz val="9"/>
            <color indexed="81"/>
            <rFont val="Tahoma"/>
            <family val="2"/>
          </rPr>
          <t xml:space="preserve">
Nykyisten pitkäaikaisten (päättyy yli vuoden päästä) osamaksuvelkojen seuraavan vuoden lyhennys.</t>
        </r>
      </text>
    </comment>
    <comment ref="H80" authorId="0" shapeId="0" xr:uid="{3A517248-06B3-47D5-A4EB-370293A1F58C}">
      <text>
        <r>
          <rPr>
            <b/>
            <sz val="9"/>
            <color indexed="81"/>
            <rFont val="Tahoma"/>
            <family val="2"/>
          </rPr>
          <t>Laaksonen Aki:</t>
        </r>
        <r>
          <rPr>
            <sz val="9"/>
            <color indexed="81"/>
            <rFont val="Tahoma"/>
            <family val="2"/>
          </rPr>
          <t xml:space="preserve">
</t>
        </r>
        <r>
          <rPr>
            <b/>
            <u/>
            <sz val="9"/>
            <color indexed="81"/>
            <rFont val="Tahoma"/>
            <family val="2"/>
          </rPr>
          <t>Pitkäaikaisen osamaksuvelan lyhennys:</t>
        </r>
        <r>
          <rPr>
            <sz val="9"/>
            <color indexed="81"/>
            <rFont val="Tahoma"/>
            <family val="2"/>
          </rPr>
          <t xml:space="preserve">
Nykyisten pitkäaikaisten (päättyy yli vuoden päästä) osamaksuvelkojen seuraavan vuoden lyhennys.</t>
        </r>
      </text>
    </comment>
    <comment ref="G82" authorId="0" shapeId="0" xr:uid="{18DACDA8-724B-428D-B62C-17689D94E4FA}">
      <text>
        <r>
          <rPr>
            <b/>
            <sz val="9"/>
            <color indexed="81"/>
            <rFont val="Tahoma"/>
            <family val="2"/>
          </rPr>
          <t>Laaksonen Aki:</t>
        </r>
        <r>
          <rPr>
            <sz val="9"/>
            <color indexed="81"/>
            <rFont val="Tahoma"/>
            <family val="2"/>
          </rPr>
          <t xml:space="preserve">
</t>
        </r>
        <r>
          <rPr>
            <b/>
            <u/>
            <sz val="9"/>
            <color indexed="81"/>
            <rFont val="Tahoma"/>
            <family val="2"/>
          </rPr>
          <t>Ennakonpidätysvelka:</t>
        </r>
        <r>
          <rPr>
            <sz val="9"/>
            <color indexed="81"/>
            <rFont val="Tahoma"/>
            <family val="2"/>
          </rPr>
          <t xml:space="preserve">
Jos on maksettu palkkoja tilinpäätöskuukautena, on ennakonpidätykset maksamatta.
</t>
        </r>
        <r>
          <rPr>
            <b/>
            <sz val="9"/>
            <color indexed="81"/>
            <rFont val="Tahoma"/>
            <family val="2"/>
          </rPr>
          <t>Tähän soluun tulee luku. Tilinpäätöksessä ei aina eritellä tätä kohtaa, vaan summa sisältyy lukuun "muut lyhytaikaiset velat" tai "5. Siirtovelat".</t>
        </r>
      </text>
    </comment>
    <comment ref="H82" authorId="0" shapeId="0" xr:uid="{10216B21-05F6-4D70-9D35-E07B3B959EA0}">
      <text>
        <r>
          <rPr>
            <b/>
            <sz val="9"/>
            <color indexed="81"/>
            <rFont val="Tahoma"/>
            <family val="2"/>
          </rPr>
          <t>Laaksonen Aki:</t>
        </r>
        <r>
          <rPr>
            <sz val="9"/>
            <color indexed="81"/>
            <rFont val="Tahoma"/>
            <family val="2"/>
          </rPr>
          <t xml:space="preserve">
</t>
        </r>
        <r>
          <rPr>
            <b/>
            <u/>
            <sz val="9"/>
            <color indexed="81"/>
            <rFont val="Tahoma"/>
            <family val="2"/>
          </rPr>
          <t>Ennakonpidätysvelka:</t>
        </r>
        <r>
          <rPr>
            <sz val="9"/>
            <color indexed="81"/>
            <rFont val="Tahoma"/>
            <family val="2"/>
          </rPr>
          <t xml:space="preserve">
Jos on maksettu palkkoja tilinpäätöskuukautena, on ennakonpidätykset maksamatta.
</t>
        </r>
        <r>
          <rPr>
            <b/>
            <sz val="9"/>
            <color indexed="81"/>
            <rFont val="Tahoma"/>
            <family val="2"/>
          </rPr>
          <t>Tähän soluun tulee luku. Tilinpäätöksessä ei aina eritellä tätä kohtaa, vaan summa sisältyy lukuun "muut lyhytaikaiset velat" tai "5. Siirtovelat".</t>
        </r>
      </text>
    </comment>
    <comment ref="I82" authorId="0" shapeId="0" xr:uid="{82DEBB89-A661-4091-988D-F767922ED94A}">
      <text>
        <r>
          <rPr>
            <b/>
            <sz val="9"/>
            <color indexed="81"/>
            <rFont val="Tahoma"/>
            <family val="2"/>
          </rPr>
          <t>Laaksonen Aki:</t>
        </r>
        <r>
          <rPr>
            <sz val="9"/>
            <color indexed="81"/>
            <rFont val="Tahoma"/>
            <family val="2"/>
          </rPr>
          <t xml:space="preserve">
Luku sisältää vain ennakonpidätysvelan tilikauden lopussa.</t>
        </r>
      </text>
    </comment>
    <comment ref="J82" authorId="0" shapeId="0" xr:uid="{25E54B76-382C-4290-8B74-19DF90C98328}">
      <text>
        <r>
          <rPr>
            <b/>
            <sz val="9"/>
            <color indexed="81"/>
            <rFont val="Tahoma"/>
            <family val="2"/>
          </rPr>
          <t>Laaksonen Aki:</t>
        </r>
        <r>
          <rPr>
            <sz val="9"/>
            <color indexed="81"/>
            <rFont val="Tahoma"/>
            <family val="2"/>
          </rPr>
          <t xml:space="preserve">
Luku sisältää vain ennakonpidätysvelan tilikauden lopussa.</t>
        </r>
      </text>
    </comment>
    <comment ref="I83" authorId="0" shapeId="0" xr:uid="{092DFC01-2B8C-494F-B415-F33FA21789A8}">
      <text>
        <r>
          <rPr>
            <b/>
            <sz val="9"/>
            <color indexed="81"/>
            <rFont val="Tahoma"/>
            <family val="2"/>
          </rPr>
          <t>Laaksonen Aki:</t>
        </r>
        <r>
          <rPr>
            <sz val="9"/>
            <color indexed="81"/>
            <rFont val="Tahoma"/>
            <family val="2"/>
          </rPr>
          <t xml:space="preserve">
Kaikkien palkkaa saavien keskimääräinen veronpidätysprosentti.</t>
        </r>
      </text>
    </comment>
    <comment ref="G84" authorId="0" shapeId="0" xr:uid="{4A60942C-D4C1-467F-98D9-3D6659E54DE3}">
      <text>
        <r>
          <rPr>
            <b/>
            <sz val="9"/>
            <color indexed="81"/>
            <rFont val="Tahoma"/>
            <family val="2"/>
          </rPr>
          <t>Laaksonen Aki:</t>
        </r>
        <r>
          <rPr>
            <sz val="9"/>
            <color indexed="81"/>
            <rFont val="Tahoma"/>
            <family val="2"/>
          </rPr>
          <t xml:space="preserve">
</t>
        </r>
        <r>
          <rPr>
            <b/>
            <u/>
            <sz val="9"/>
            <color indexed="81"/>
            <rFont val="Tahoma"/>
            <family val="2"/>
          </rPr>
          <t>Sosiaaliturvamaksuvelka:</t>
        </r>
        <r>
          <rPr>
            <sz val="9"/>
            <color indexed="81"/>
            <rFont val="Tahoma"/>
            <family val="2"/>
          </rPr>
          <t xml:space="preserve">
Jos on maksettu palkkoja tilinpäätöskuukautena, on sosiaaliturvamaksuja maksamatta.
</t>
        </r>
        <r>
          <rPr>
            <b/>
            <sz val="9"/>
            <color indexed="81"/>
            <rFont val="Tahoma"/>
            <family val="2"/>
          </rPr>
          <t>Tähän soluun tulee luku. Tilinpäätöksessä ei aina eritellä tätä kohtaa, vaan summa sisältyy lukuun "muut lyhytaikaiset velat" tai "5. Siirtovelat".</t>
        </r>
        <r>
          <rPr>
            <sz val="9"/>
            <color indexed="81"/>
            <rFont val="Tahoma"/>
            <family val="2"/>
          </rPr>
          <t xml:space="preserve">
</t>
        </r>
      </text>
    </comment>
    <comment ref="H84" authorId="0" shapeId="0" xr:uid="{E55DF124-8E1D-484F-BFA2-CFDD332CD83E}">
      <text>
        <r>
          <rPr>
            <b/>
            <sz val="9"/>
            <color indexed="81"/>
            <rFont val="Tahoma"/>
            <family val="2"/>
          </rPr>
          <t>Laaksonen Aki:</t>
        </r>
        <r>
          <rPr>
            <sz val="9"/>
            <color indexed="81"/>
            <rFont val="Tahoma"/>
            <family val="2"/>
          </rPr>
          <t xml:space="preserve">
</t>
        </r>
        <r>
          <rPr>
            <b/>
            <u/>
            <sz val="9"/>
            <color indexed="81"/>
            <rFont val="Tahoma"/>
            <family val="2"/>
          </rPr>
          <t>Sosiaaliturvamaksuvelka:</t>
        </r>
        <r>
          <rPr>
            <sz val="9"/>
            <color indexed="81"/>
            <rFont val="Tahoma"/>
            <family val="2"/>
          </rPr>
          <t xml:space="preserve">
Jos on maksettu palkkoja tilinpäätöskuukautena, on sosiaaliturvamaksuja maksamatta.
</t>
        </r>
        <r>
          <rPr>
            <b/>
            <sz val="9"/>
            <color indexed="81"/>
            <rFont val="Tahoma"/>
            <family val="2"/>
          </rPr>
          <t>Tähän soluun tulee luku. Tilinpäätöksessä ei aina eritellä tätä kohtaa, vaan summa sisältyy lukuun "muut lyhytaikaiset velat" tai "5. Siirtovelat".</t>
        </r>
        <r>
          <rPr>
            <sz val="9"/>
            <color indexed="81"/>
            <rFont val="Tahoma"/>
            <family val="2"/>
          </rPr>
          <t xml:space="preserve">
</t>
        </r>
      </text>
    </comment>
    <comment ref="G85" authorId="0" shapeId="0" xr:uid="{FD86291C-96B6-44F8-8553-F212185D2A30}">
      <text>
        <r>
          <rPr>
            <b/>
            <sz val="9"/>
            <color indexed="81"/>
            <rFont val="Tahoma"/>
            <family val="2"/>
          </rPr>
          <t>Laaksonen Aki:</t>
        </r>
        <r>
          <rPr>
            <sz val="9"/>
            <color indexed="81"/>
            <rFont val="Tahoma"/>
            <family val="2"/>
          </rPr>
          <t xml:space="preserve">
</t>
        </r>
        <r>
          <rPr>
            <b/>
            <u/>
            <sz val="9"/>
            <color indexed="81"/>
            <rFont val="Tahoma"/>
            <family val="2"/>
          </rPr>
          <t>Arvonlisäverovelka:</t>
        </r>
        <r>
          <rPr>
            <sz val="9"/>
            <color indexed="81"/>
            <rFont val="Tahoma"/>
            <family val="2"/>
          </rPr>
          <t xml:space="preserve">
Tilinpäätöshetkellä yrityksellä on 2 kuukauden arvonlisäverot maksamatta. </t>
        </r>
        <r>
          <rPr>
            <b/>
            <sz val="9"/>
            <color indexed="81"/>
            <rFont val="Tahoma"/>
            <family val="2"/>
          </rPr>
          <t>Tähän soluun tulee luku. Luku voi olla nolla</t>
        </r>
        <r>
          <rPr>
            <sz val="9"/>
            <color indexed="81"/>
            <rFont val="Tahoma"/>
            <family val="2"/>
          </rPr>
          <t xml:space="preserve">
- hoiva-alalla ja terveydenhuollossa
- vakuutus- ja rahoituspalveluissa
- kiinteistönvälityksessä
- yrityksen liikevaihto alle 20 000 euroa
- jos yritys on käännetyn arvonlisäveron piirissä (rakennusala)
</t>
        </r>
        <r>
          <rPr>
            <b/>
            <sz val="9"/>
            <color indexed="81"/>
            <rFont val="Tahoma"/>
            <family val="2"/>
          </rPr>
          <t>Tilinpäätöksessä ei aina eritellä tätä kohtaa, vaan summa sisältyy lukuun "muut lyhytaikaiset velat" tai "5. Siirtovelat".</t>
        </r>
      </text>
    </comment>
    <comment ref="H85" authorId="0" shapeId="0" xr:uid="{1F85120E-2A53-456F-A67D-4E698C485075}">
      <text>
        <r>
          <rPr>
            <b/>
            <sz val="9"/>
            <color indexed="81"/>
            <rFont val="Tahoma"/>
            <family val="2"/>
          </rPr>
          <t>Laaksonen Aki:</t>
        </r>
        <r>
          <rPr>
            <sz val="9"/>
            <color indexed="81"/>
            <rFont val="Tahoma"/>
            <family val="2"/>
          </rPr>
          <t xml:space="preserve">
</t>
        </r>
        <r>
          <rPr>
            <b/>
            <u/>
            <sz val="9"/>
            <color indexed="81"/>
            <rFont val="Tahoma"/>
            <family val="2"/>
          </rPr>
          <t>Arvonlisäverovelka:</t>
        </r>
        <r>
          <rPr>
            <sz val="9"/>
            <color indexed="81"/>
            <rFont val="Tahoma"/>
            <family val="2"/>
          </rPr>
          <t xml:space="preserve">
Tilinpäätöshetkellä yrityksellä on 2 kuukauden arvonlisäverot maksamatta. </t>
        </r>
        <r>
          <rPr>
            <b/>
            <sz val="9"/>
            <color indexed="81"/>
            <rFont val="Tahoma"/>
            <family val="2"/>
          </rPr>
          <t>Tähän soluun tulee luku. Luku voi olla nolla</t>
        </r>
        <r>
          <rPr>
            <sz val="9"/>
            <color indexed="81"/>
            <rFont val="Tahoma"/>
            <family val="2"/>
          </rPr>
          <t xml:space="preserve">
- hoiva-alalla ja terveydenhuollossa
- vakuutus- ja rahoituspalveluissa
- kiinteistönvälityksessä
- yrityksen liikevaihto alle 20 000 euroa
- jos yritys on käännetyn arvonlisäveron piirissä (rakennusala)
</t>
        </r>
        <r>
          <rPr>
            <b/>
            <sz val="9"/>
            <color indexed="81"/>
            <rFont val="Tahoma"/>
            <family val="2"/>
          </rPr>
          <t>Tilinpäätöksessä ei aina eritellä tätä kohtaa, vaan summa sisältyy lukuun "muut lyhytaikaiset velat" tai "5. Siirtovelat".</t>
        </r>
      </text>
    </comment>
    <comment ref="I85" authorId="0" shapeId="0" xr:uid="{175EAB87-444A-4C04-BD30-49001739D43B}">
      <text>
        <r>
          <rPr>
            <b/>
            <sz val="9"/>
            <color indexed="81"/>
            <rFont val="Tahoma"/>
            <family val="2"/>
          </rPr>
          <t>Laaksonen Aki:</t>
        </r>
        <r>
          <rPr>
            <sz val="9"/>
            <color indexed="81"/>
            <rFont val="Tahoma"/>
            <family val="2"/>
          </rPr>
          <t xml:space="preserve">
</t>
        </r>
        <r>
          <rPr>
            <b/>
            <u/>
            <sz val="9"/>
            <color indexed="81"/>
            <rFont val="Tahoma"/>
            <family val="2"/>
          </rPr>
          <t>Arvonlisäverovelka:</t>
        </r>
        <r>
          <rPr>
            <sz val="9"/>
            <color indexed="81"/>
            <rFont val="Tahoma"/>
            <family val="2"/>
          </rPr>
          <t xml:space="preserve">
Tilinpäätöshetkellä yrityksellä on 2 kuukauden arvonlisäverot maksamatta. </t>
        </r>
        <r>
          <rPr>
            <b/>
            <sz val="9"/>
            <color indexed="81"/>
            <rFont val="Tahoma"/>
            <family val="2"/>
          </rPr>
          <t>Tähän soluun tulee luku. Luku voi olla nolla</t>
        </r>
        <r>
          <rPr>
            <sz val="9"/>
            <color indexed="81"/>
            <rFont val="Tahoma"/>
            <family val="2"/>
          </rPr>
          <t xml:space="preserve">
- hoiva-alalla ja terveydenhuollossa
- vakuutus- ja rahoituspalveluissa
- kiinteistönvälityksessä
- yrityksen liikevaihto alle 20 000 euroa
- jos yritys on käännetyn arvonlisäveron piirissä (rakennusala)
</t>
        </r>
        <r>
          <rPr>
            <b/>
            <sz val="9"/>
            <color indexed="81"/>
            <rFont val="Tahoma"/>
            <family val="2"/>
          </rPr>
          <t>Tilinpäätöksessä ei aina eritellä tätä kohtaa, vaan summa sisältyy lukuun "muut lyhytaikaiset velat" tai "5. Siirtovelat".</t>
        </r>
      </text>
    </comment>
    <comment ref="G86" authorId="0" shapeId="0" xr:uid="{C0A2B659-2BDC-4950-BC83-3827064299B9}">
      <text>
        <r>
          <rPr>
            <b/>
            <sz val="9"/>
            <color indexed="81"/>
            <rFont val="Tahoma"/>
            <family val="2"/>
          </rPr>
          <t>Laaksonen Aki:</t>
        </r>
        <r>
          <rPr>
            <sz val="9"/>
            <color indexed="81"/>
            <rFont val="Tahoma"/>
            <family val="2"/>
          </rPr>
          <t xml:space="preserve">
Jos luku on yli 6 %, niin todennäköisesti yrityksellä on alv-velkaa.</t>
        </r>
      </text>
    </comment>
    <comment ref="H86" authorId="0" shapeId="0" xr:uid="{46CEF6CC-E93A-4CA9-97A5-AC6BB9DE1525}">
      <text>
        <r>
          <rPr>
            <b/>
            <sz val="9"/>
            <color indexed="81"/>
            <rFont val="Tahoma"/>
            <family val="2"/>
          </rPr>
          <t>Laaksonen Aki:</t>
        </r>
        <r>
          <rPr>
            <sz val="9"/>
            <color indexed="81"/>
            <rFont val="Tahoma"/>
            <family val="2"/>
          </rPr>
          <t xml:space="preserve">
Jos luku on yli 6 %, niin todennäköisesti yrityksellä on alv-velkaa.</t>
        </r>
      </text>
    </comment>
    <comment ref="G87" authorId="0" shapeId="0" xr:uid="{D0E61191-AE9B-4A06-A605-66FE68FD2B98}">
      <text>
        <r>
          <rPr>
            <b/>
            <sz val="9"/>
            <color indexed="81"/>
            <rFont val="Tahoma"/>
            <family val="2"/>
          </rPr>
          <t>Laaksonen Aki:</t>
        </r>
        <r>
          <rPr>
            <sz val="9"/>
            <color indexed="81"/>
            <rFont val="Tahoma"/>
            <family val="2"/>
          </rPr>
          <t xml:space="preserve">
</t>
        </r>
        <r>
          <rPr>
            <b/>
            <u/>
            <sz val="9"/>
            <color indexed="81"/>
            <rFont val="Tahoma"/>
            <family val="2"/>
          </rPr>
          <t>Muut lyhytaikaiset velat:</t>
        </r>
        <r>
          <rPr>
            <sz val="9"/>
            <color indexed="81"/>
            <rFont val="Tahoma"/>
            <family val="2"/>
          </rPr>
          <t xml:space="preserve">
Edelliseltä kaudelta maksamatta jääneet muut lyhytaikaiset velat tilikauden lopussa:
- henkilöstökulut
- velat omistajille
- ennakkoon saatu vuokra
- viivästysseuraamukset
- sakot
</t>
        </r>
        <r>
          <rPr>
            <b/>
            <sz val="9"/>
            <color indexed="81"/>
            <rFont val="Tahoma"/>
            <family val="2"/>
          </rPr>
          <t>Lukuun voi sisältyä myös:</t>
        </r>
        <r>
          <rPr>
            <sz val="9"/>
            <color indexed="81"/>
            <rFont val="Tahoma"/>
            <family val="2"/>
          </rPr>
          <t xml:space="preserve">
- ennakonpidätysvelka (tai ennakonpidätys- ja sotumaksuvelka verotilillä/OmaVerossa)
- sosiaaliturvamaksuvelka
- arvonlisäverovelka
- lomapalkkavelat
Erittele yläpuolella. Tiedot esitetään Taseen liitetiedoissa.
</t>
        </r>
      </text>
    </comment>
    <comment ref="H87" authorId="0" shapeId="0" xr:uid="{C4B4455A-2D7E-47A2-8455-31612B86E680}">
      <text>
        <r>
          <rPr>
            <b/>
            <sz val="9"/>
            <color indexed="81"/>
            <rFont val="Tahoma"/>
            <family val="2"/>
          </rPr>
          <t>Laaksonen Aki:</t>
        </r>
        <r>
          <rPr>
            <sz val="9"/>
            <color indexed="81"/>
            <rFont val="Tahoma"/>
            <family val="2"/>
          </rPr>
          <t xml:space="preserve">
</t>
        </r>
        <r>
          <rPr>
            <b/>
            <u/>
            <sz val="9"/>
            <color indexed="81"/>
            <rFont val="Tahoma"/>
            <family val="2"/>
          </rPr>
          <t>Muut lyhytaikaiset velat:</t>
        </r>
        <r>
          <rPr>
            <sz val="9"/>
            <color indexed="81"/>
            <rFont val="Tahoma"/>
            <family val="2"/>
          </rPr>
          <t xml:space="preserve">
Edelliseltä kaudelta maksamatta jääneet muut lyhytaikaiset velat tilikauden lopussa:
- henkilöstökulut
- velat omistajille
- ennakkoon saatu vuokra
- viivästysseuraamukset
- sakot
</t>
        </r>
        <r>
          <rPr>
            <b/>
            <sz val="9"/>
            <color indexed="81"/>
            <rFont val="Tahoma"/>
            <family val="2"/>
          </rPr>
          <t>Lukuun voi sisältyä myös:</t>
        </r>
        <r>
          <rPr>
            <sz val="9"/>
            <color indexed="81"/>
            <rFont val="Tahoma"/>
            <family val="2"/>
          </rPr>
          <t xml:space="preserve">
- ennakonpidätysvelka (tai ennakonpidätys- ja sotumaksuvelka verotilillä/OmaVerossa)
- sosiaaliturvamaksuvelka
- arvonlisäverovelka
- lomapalkkavelat
Erittele yläpuolella. Tiedot esitetään Taseen liitetiedoissa.
</t>
        </r>
      </text>
    </comment>
    <comment ref="G89" authorId="0" shapeId="0" xr:uid="{135E876C-6D0B-46A4-9D7E-5494B96DA0CB}">
      <text>
        <r>
          <rPr>
            <b/>
            <sz val="9"/>
            <color indexed="81"/>
            <rFont val="Tahoma"/>
            <family val="2"/>
          </rPr>
          <t>Laaksonen Aki:</t>
        </r>
        <r>
          <rPr>
            <sz val="9"/>
            <color indexed="81"/>
            <rFont val="Tahoma"/>
            <family val="2"/>
          </rPr>
          <t xml:space="preserve">
</t>
        </r>
        <r>
          <rPr>
            <b/>
            <u/>
            <sz val="9"/>
            <color indexed="81"/>
            <rFont val="Tahoma"/>
            <family val="2"/>
          </rPr>
          <t>Siirtovelat:</t>
        </r>
        <r>
          <rPr>
            <sz val="9"/>
            <color indexed="81"/>
            <rFont val="Tahoma"/>
            <family val="2"/>
          </rPr>
          <t xml:space="preserve">
Esim. tuloverovelka, lainan laskennallinen korkovelka.
</t>
        </r>
        <r>
          <rPr>
            <b/>
            <sz val="9"/>
            <color indexed="81"/>
            <rFont val="Tahoma"/>
            <family val="2"/>
          </rPr>
          <t>Lukuun voi sisältyä myös:</t>
        </r>
        <r>
          <rPr>
            <sz val="9"/>
            <color indexed="81"/>
            <rFont val="Tahoma"/>
            <family val="2"/>
          </rPr>
          <t xml:space="preserve">
- ennakonpidätysvelka (tai ennakonpidätys- ja sotumaksuvelka verotilillä/OmaVerossa)
- sosiaaliturvamaksuvelka
- arvonlisäverovelka
- lomapalkkavelat
Erittele yläpuolella. Tiedot esitetään Taseen liitetiedoissa.</t>
        </r>
      </text>
    </comment>
    <comment ref="H89" authorId="0" shapeId="0" xr:uid="{C761A714-3ACB-4989-8167-96777A97854D}">
      <text>
        <r>
          <rPr>
            <b/>
            <sz val="9"/>
            <color indexed="81"/>
            <rFont val="Tahoma"/>
            <family val="2"/>
          </rPr>
          <t>Laaksonen Aki:</t>
        </r>
        <r>
          <rPr>
            <sz val="9"/>
            <color indexed="81"/>
            <rFont val="Tahoma"/>
            <family val="2"/>
          </rPr>
          <t xml:space="preserve">
</t>
        </r>
        <r>
          <rPr>
            <b/>
            <u/>
            <sz val="9"/>
            <color indexed="81"/>
            <rFont val="Tahoma"/>
            <family val="2"/>
          </rPr>
          <t>Siirtovelat:</t>
        </r>
        <r>
          <rPr>
            <sz val="9"/>
            <color indexed="81"/>
            <rFont val="Tahoma"/>
            <family val="2"/>
          </rPr>
          <t xml:space="preserve">
Esim. tuloverovelka, lainan laskennallinen korkovelka.
</t>
        </r>
        <r>
          <rPr>
            <b/>
            <sz val="9"/>
            <color indexed="81"/>
            <rFont val="Tahoma"/>
            <family val="2"/>
          </rPr>
          <t>Lukuun voi sisältyä myös:</t>
        </r>
        <r>
          <rPr>
            <sz val="9"/>
            <color indexed="81"/>
            <rFont val="Tahoma"/>
            <family val="2"/>
          </rPr>
          <t xml:space="preserve">
- ennakonpidätysvelka (tai ennakonpidätys- ja sotumaksuvelka verotilillä/OmaVerossa)
- sosiaaliturvamaksuvelka
- arvonlisäverovelka
- lomapalkkavelat
Erittele yläpuolella. Tiedot esitetään Taseen liitetiedoissa.</t>
        </r>
      </text>
    </comment>
    <comment ref="I89" authorId="0" shapeId="0" xr:uid="{1AD5CD1D-D9CE-42B5-A464-25D5CA13D08D}">
      <text>
        <r>
          <rPr>
            <b/>
            <sz val="9"/>
            <color indexed="81"/>
            <rFont val="Tahoma"/>
            <family val="2"/>
          </rPr>
          <t>Laaksonen Aki:</t>
        </r>
        <r>
          <rPr>
            <sz val="9"/>
            <color indexed="81"/>
            <rFont val="Tahoma"/>
            <family val="2"/>
          </rPr>
          <t xml:space="preserve">
</t>
        </r>
        <r>
          <rPr>
            <b/>
            <u/>
            <sz val="9"/>
            <color indexed="81"/>
            <rFont val="Tahoma"/>
            <family val="2"/>
          </rPr>
          <t>Siirtovelat:</t>
        </r>
        <r>
          <rPr>
            <sz val="9"/>
            <color indexed="81"/>
            <rFont val="Tahoma"/>
            <family val="2"/>
          </rPr>
          <t xml:space="preserve">
Esim. tuloverovelka, lainan laskennallinen korkovelka.
</t>
        </r>
        <r>
          <rPr>
            <b/>
            <sz val="9"/>
            <color indexed="81"/>
            <rFont val="Tahoma"/>
            <family val="2"/>
          </rPr>
          <t>Lukuun voi sisältyä myös:</t>
        </r>
        <r>
          <rPr>
            <sz val="9"/>
            <color indexed="81"/>
            <rFont val="Tahoma"/>
            <family val="2"/>
          </rPr>
          <t xml:space="preserve">
- ennakonpidätysvelka (tai ennakonpidätys- ja sotumaksuvelka verotilillä/OmaVerossa)
- sosiaaliturvamaksuvelka
- arvonlisäverovelka
- lomapalkkavelat
Erittele yläpuolella. Tiedot esitetään Taseen liitetiedoissa.</t>
        </r>
      </text>
    </comment>
    <comment ref="G90" authorId="0" shapeId="0" xr:uid="{920A25C0-FCA5-4995-952D-747E66E91B33}">
      <text>
        <r>
          <rPr>
            <b/>
            <sz val="9"/>
            <color indexed="81"/>
            <rFont val="Tahoma"/>
            <family val="2"/>
          </rPr>
          <t>Laaksonen Aki:</t>
        </r>
        <r>
          <rPr>
            <sz val="9"/>
            <color indexed="81"/>
            <rFont val="Tahoma"/>
            <family val="2"/>
          </rPr>
          <t xml:space="preserve">
</t>
        </r>
        <r>
          <rPr>
            <b/>
            <u/>
            <sz val="9"/>
            <color indexed="81"/>
            <rFont val="Tahoma"/>
            <family val="2"/>
          </rPr>
          <t>Lomapalkkavelat:</t>
        </r>
        <r>
          <rPr>
            <sz val="9"/>
            <color indexed="81"/>
            <rFont val="Tahoma"/>
            <family val="2"/>
          </rPr>
          <t xml:space="preserve">
Jos palkkoja maksetaan säännöllisesti, on yleensä lomapalkkavelkaa (seuraavana vuonna maksettavat lomapalkat sotu-maksuineen).
Jos lomapalkkavarausta ei tehdä, voi luku olla nolla.</t>
        </r>
      </text>
    </comment>
    <comment ref="H90" authorId="0" shapeId="0" xr:uid="{F8EDF2DA-9D56-427A-9AE4-16412B261018}">
      <text>
        <r>
          <rPr>
            <b/>
            <sz val="9"/>
            <color indexed="81"/>
            <rFont val="Tahoma"/>
            <family val="2"/>
          </rPr>
          <t>Laaksonen Aki:</t>
        </r>
        <r>
          <rPr>
            <sz val="9"/>
            <color indexed="81"/>
            <rFont val="Tahoma"/>
            <family val="2"/>
          </rPr>
          <t xml:space="preserve">
</t>
        </r>
        <r>
          <rPr>
            <b/>
            <u/>
            <sz val="9"/>
            <color indexed="81"/>
            <rFont val="Tahoma"/>
            <family val="2"/>
          </rPr>
          <t>Lomapalkkavelat:</t>
        </r>
        <r>
          <rPr>
            <sz val="9"/>
            <color indexed="81"/>
            <rFont val="Tahoma"/>
            <family val="2"/>
          </rPr>
          <t xml:space="preserve">
Jos palkkoja maksetaan säännöllisesti, on yleensä lomapalkkavelkaa (seuraavana vuonna maksettavat lomapalkat sotu-maksuineen).
Jos lomapalkkavarausta ei tehdä, voi luku olla nolla.</t>
        </r>
      </text>
    </comment>
    <comment ref="I90" authorId="0" shapeId="0" xr:uid="{1877159E-112E-4F47-A175-6A2EB8D08BCB}">
      <text>
        <r>
          <rPr>
            <b/>
            <sz val="9"/>
            <color indexed="81"/>
            <rFont val="Tahoma"/>
            <family val="2"/>
          </rPr>
          <t>Laaksonen Aki:</t>
        </r>
        <r>
          <rPr>
            <sz val="9"/>
            <color indexed="81"/>
            <rFont val="Tahoma"/>
            <family val="2"/>
          </rPr>
          <t xml:space="preserve">
</t>
        </r>
        <r>
          <rPr>
            <b/>
            <u/>
            <sz val="9"/>
            <color indexed="81"/>
            <rFont val="Tahoma"/>
            <family val="2"/>
          </rPr>
          <t>Lomapalkkavelat:</t>
        </r>
        <r>
          <rPr>
            <sz val="9"/>
            <color indexed="81"/>
            <rFont val="Tahoma"/>
            <family val="2"/>
          </rPr>
          <t xml:space="preserve">
Jos lomapalkkavarausta ei tehdä, nollataan tämä rivi.</t>
        </r>
      </text>
    </comment>
    <comment ref="J90" authorId="0" shapeId="0" xr:uid="{3FEAE30D-C4F0-4A98-9983-74A84A93CE4C}">
      <text>
        <r>
          <rPr>
            <b/>
            <sz val="9"/>
            <color indexed="81"/>
            <rFont val="Tahoma"/>
            <family val="2"/>
          </rPr>
          <t>Laaksonen Aki:</t>
        </r>
        <r>
          <rPr>
            <sz val="9"/>
            <color indexed="81"/>
            <rFont val="Tahoma"/>
            <family val="2"/>
          </rPr>
          <t xml:space="preserve">
</t>
        </r>
        <r>
          <rPr>
            <b/>
            <u/>
            <sz val="9"/>
            <color indexed="81"/>
            <rFont val="Tahoma"/>
            <family val="2"/>
          </rPr>
          <t>Lomapalkkavelat:</t>
        </r>
        <r>
          <rPr>
            <sz val="9"/>
            <color indexed="81"/>
            <rFont val="Tahoma"/>
            <family val="2"/>
          </rPr>
          <t xml:space="preserve">
Jos lomapalkkavarausta ei tehdä, nollataan tämä rivi.</t>
        </r>
      </text>
    </comment>
    <comment ref="K90" authorId="0" shapeId="0" xr:uid="{8E6C7E6A-7A58-41BE-A62F-651FB09B224E}">
      <text>
        <r>
          <rPr>
            <b/>
            <sz val="9"/>
            <color indexed="81"/>
            <rFont val="Tahoma"/>
            <family val="2"/>
          </rPr>
          <t>Laaksonen Aki:</t>
        </r>
        <r>
          <rPr>
            <sz val="9"/>
            <color indexed="81"/>
            <rFont val="Tahoma"/>
            <family val="2"/>
          </rPr>
          <t xml:space="preserve">
</t>
        </r>
        <r>
          <rPr>
            <b/>
            <u/>
            <sz val="9"/>
            <color indexed="81"/>
            <rFont val="Tahoma"/>
            <family val="2"/>
          </rPr>
          <t>Lomapalkkavelat:</t>
        </r>
        <r>
          <rPr>
            <sz val="9"/>
            <color indexed="81"/>
            <rFont val="Tahoma"/>
            <family val="2"/>
          </rPr>
          <t xml:space="preserve">
Jos lomapalkkavarausta ei tehdä, nollataan tämä rivi.</t>
        </r>
      </text>
    </comment>
    <comment ref="L90" authorId="0" shapeId="0" xr:uid="{74321643-FB00-4611-AD10-880C42CC3037}">
      <text>
        <r>
          <rPr>
            <b/>
            <sz val="9"/>
            <color indexed="81"/>
            <rFont val="Tahoma"/>
            <family val="2"/>
          </rPr>
          <t>Laaksonen Aki:</t>
        </r>
        <r>
          <rPr>
            <sz val="9"/>
            <color indexed="81"/>
            <rFont val="Tahoma"/>
            <family val="2"/>
          </rPr>
          <t xml:space="preserve">
</t>
        </r>
        <r>
          <rPr>
            <b/>
            <sz val="9"/>
            <color indexed="81"/>
            <rFont val="Tahoma"/>
            <family val="2"/>
          </rPr>
          <t>Lomapalkkavelat:</t>
        </r>
        <r>
          <rPr>
            <sz val="9"/>
            <color indexed="81"/>
            <rFont val="Tahoma"/>
            <family val="2"/>
          </rPr>
          <t xml:space="preserve">
Jos lomapalkkavarausta ei tehdä, nollataan tämä rivi.</t>
        </r>
      </text>
    </comment>
    <comment ref="I92" authorId="0" shapeId="0" xr:uid="{853C3D34-EAB1-4BB8-8C95-8820806446DB}">
      <text>
        <r>
          <rPr>
            <b/>
            <sz val="9"/>
            <color indexed="81"/>
            <rFont val="Tahoma"/>
            <family val="2"/>
          </rPr>
          <t>Laaksonen Aki:</t>
        </r>
        <r>
          <rPr>
            <sz val="9"/>
            <color indexed="81"/>
            <rFont val="Tahoma"/>
            <family val="2"/>
          </rPr>
          <t xml:space="preserve">
</t>
        </r>
        <r>
          <rPr>
            <b/>
            <u/>
            <sz val="9"/>
            <color indexed="81"/>
            <rFont val="Tahoma"/>
            <family val="2"/>
          </rPr>
          <t>Laskettu eläke- ja sivukuluvelka:</t>
        </r>
        <r>
          <rPr>
            <sz val="9"/>
            <color indexed="81"/>
            <rFont val="Tahoma"/>
            <family val="2"/>
          </rPr>
          <t xml:space="preserve">
YEL-palkoista syntyvistä lomapalkoista ei makseta eläkemaksua, mutta muita sosiaalimaksuja noin 3 %.
</t>
        </r>
        <r>
          <rPr>
            <b/>
            <sz val="9"/>
            <color indexed="81"/>
            <rFont val="Tahoma"/>
            <family val="2"/>
          </rPr>
          <t>2026</t>
        </r>
        <r>
          <rPr>
            <sz val="9"/>
            <color indexed="81"/>
            <rFont val="Tahoma"/>
            <family val="2"/>
          </rPr>
          <t xml:space="preserve">
Yritys maksaa keskimäärin:
- TyEL-maksua 17,1 % palkoista
- Tapaturma- ja ammattitautivakuutus keskimäärin 0,51 % (vaihtelee 0,1-7 % tapaturma-alttiilla aloilla suurempi)
- Sairausvakuutusmaksu 1,91 %
- Työttömyysvakuutusta työnantajan osuus 0,31 %
- Ryhmähenkivakuutusta 0,06 %
YHTEENSÄ: 19,79 %
</t>
        </r>
        <r>
          <rPr>
            <b/>
            <sz val="9"/>
            <color indexed="81"/>
            <rFont val="Tahoma"/>
            <family val="2"/>
          </rPr>
          <t>Jos molempia palkkoja, arvioi painotettu keskiarvo.</t>
        </r>
      </text>
    </comment>
    <comment ref="G93" authorId="0" shapeId="0" xr:uid="{1EAD9FB5-EFAB-4038-8636-10BF3E69F6A9}">
      <text>
        <r>
          <rPr>
            <b/>
            <sz val="9"/>
            <color indexed="81"/>
            <rFont val="Tahoma"/>
            <family val="2"/>
          </rPr>
          <t>Laaksonen Aki:</t>
        </r>
        <r>
          <rPr>
            <sz val="9"/>
            <color indexed="81"/>
            <rFont val="Tahoma"/>
            <family val="2"/>
          </rPr>
          <t xml:space="preserve">
</t>
        </r>
        <r>
          <rPr>
            <b/>
            <u/>
            <sz val="9"/>
            <color indexed="81"/>
            <rFont val="Tahoma"/>
            <family val="2"/>
          </rPr>
          <t>Saadut ennakot:</t>
        </r>
        <r>
          <rPr>
            <sz val="9"/>
            <color indexed="81"/>
            <rFont val="Tahoma"/>
            <family val="2"/>
          </rPr>
          <t xml:space="preserve">
Toimitettavista tuotteista ennakkoon saatu maksu tai osasuoritus.</t>
        </r>
      </text>
    </comment>
    <comment ref="H93" authorId="0" shapeId="0" xr:uid="{484327E4-7735-42A2-B827-23EAE89752C8}">
      <text>
        <r>
          <rPr>
            <b/>
            <sz val="9"/>
            <color indexed="81"/>
            <rFont val="Tahoma"/>
            <family val="2"/>
          </rPr>
          <t>Laaksonen Aki:</t>
        </r>
        <r>
          <rPr>
            <sz val="9"/>
            <color indexed="81"/>
            <rFont val="Tahoma"/>
            <family val="2"/>
          </rPr>
          <t xml:space="preserve">
</t>
        </r>
        <r>
          <rPr>
            <b/>
            <u/>
            <sz val="9"/>
            <color indexed="81"/>
            <rFont val="Tahoma"/>
            <family val="2"/>
          </rPr>
          <t>Saadut ennakot:</t>
        </r>
        <r>
          <rPr>
            <sz val="9"/>
            <color indexed="81"/>
            <rFont val="Tahoma"/>
            <family val="2"/>
          </rPr>
          <t xml:space="preserve">
Toimitettavista tuotteista ennakkoon saatu maksu tai osasuoritus.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9D054AF1-F5CB-4A5C-9486-E0070646B8A9}">
      <text>
        <r>
          <rPr>
            <b/>
            <sz val="9"/>
            <color indexed="81"/>
            <rFont val="Tahoma"/>
            <family val="2"/>
          </rPr>
          <t>Laaksonen Aki:</t>
        </r>
        <r>
          <rPr>
            <sz val="9"/>
            <color indexed="81"/>
            <rFont val="Tahoma"/>
            <family val="2"/>
          </rPr>
          <t xml:space="preserve">
</t>
        </r>
        <r>
          <rPr>
            <b/>
            <u/>
            <sz val="9"/>
            <color indexed="81"/>
            <rFont val="Tahoma"/>
            <family val="2"/>
          </rPr>
          <t>Lainat:</t>
        </r>
        <r>
          <rPr>
            <sz val="9"/>
            <color indexed="81"/>
            <rFont val="Tahoma"/>
            <family val="2"/>
          </rPr>
          <t xml:space="preserve">
VAIN ALKUPERÄISEN SUUNNITELMAN MUKAISET LAINANLYHENNYKSET!
Ylimääräiset lainanlyhennykset / lyhennyserien muutokset merkitään taulukkoon </t>
        </r>
        <r>
          <rPr>
            <sz val="9"/>
            <color indexed="10"/>
            <rFont val="Tahoma"/>
            <family val="2"/>
          </rPr>
          <t>8 RAHOITUSSUUNNITELMA -taulukon kohtaan 19</t>
        </r>
        <r>
          <rPr>
            <sz val="9"/>
            <color indexed="81"/>
            <rFont val="Tahoma"/>
            <family val="2"/>
          </rPr>
          <t xml:space="preserve">.
- </t>
        </r>
        <r>
          <rPr>
            <sz val="9"/>
            <color indexed="10"/>
            <rFont val="Tahoma"/>
            <family val="2"/>
          </rPr>
          <t>TARKISTA RIVIT 46, 47 ja 48 KORKOPROSENTIT!</t>
        </r>
        <r>
          <rPr>
            <b/>
            <sz val="9"/>
            <color indexed="81"/>
            <rFont val="Tahoma"/>
            <family val="2"/>
          </rPr>
          <t xml:space="preserve">
Kirjoita luvut ilman senttejä kokonaislukuina.</t>
        </r>
      </text>
    </comment>
    <comment ref="C7" authorId="0" shapeId="0" xr:uid="{4FDE189E-0889-4624-89EF-420005CFFAE0}">
      <text>
        <r>
          <rPr>
            <b/>
            <sz val="9"/>
            <color indexed="81"/>
            <rFont val="Tahoma"/>
            <family val="2"/>
          </rPr>
          <t>Laaksonen Aki:</t>
        </r>
        <r>
          <rPr>
            <sz val="9"/>
            <color indexed="81"/>
            <rFont val="Tahoma"/>
            <family val="2"/>
          </rPr>
          <t xml:space="preserve">
</t>
        </r>
        <r>
          <rPr>
            <b/>
            <u/>
            <sz val="9"/>
            <color indexed="81"/>
            <rFont val="Tahoma"/>
            <family val="2"/>
          </rPr>
          <t>Nykyiset pitkäaikaiset lainat:</t>
        </r>
        <r>
          <rPr>
            <sz val="9"/>
            <color indexed="81"/>
            <rFont val="Tahoma"/>
            <family val="2"/>
          </rPr>
          <t xml:space="preserve">
Velka tai sen osa, joka erääntyy maksettavaksi yhtä vuotta pidempänä aikana.
Sisältää myös eläkelainat ja muut velkakirjalainat. Luku löytyy tilinpäätöksen kohdasta Tase / Vastattavaa / Pitkäaikainen vieras pääoma, kohta "Lainat rahoituslaitoksilta". 
</t>
        </r>
        <r>
          <rPr>
            <b/>
            <sz val="9"/>
            <color indexed="81"/>
            <rFont val="Tahoma"/>
            <family val="2"/>
          </rPr>
          <t>Varmista, että luvut eivät sisällä 1. ennustevuoden lyhennystä!</t>
        </r>
        <r>
          <rPr>
            <sz val="9"/>
            <color indexed="81"/>
            <rFont val="Tahoma"/>
            <family val="2"/>
          </rPr>
          <t xml:space="preserve">
</t>
        </r>
        <r>
          <rPr>
            <b/>
            <sz val="9"/>
            <color indexed="81"/>
            <rFont val="Tahoma"/>
            <family val="2"/>
          </rPr>
          <t>Pääomalaina</t>
        </r>
        <r>
          <rPr>
            <sz val="9"/>
            <color indexed="81"/>
            <rFont val="Tahoma"/>
            <family val="2"/>
          </rPr>
          <t xml:space="preserve">
Merkitään taulukkoon 1 INVESTOINTISUUNNITELMA kohtaan 13.
</t>
        </r>
        <r>
          <rPr>
            <b/>
            <sz val="9"/>
            <color indexed="81"/>
            <rFont val="Tahoma"/>
            <family val="2"/>
          </rPr>
          <t xml:space="preserve">Lyhytaikaiset lainat, alle yksi vuosi
</t>
        </r>
        <r>
          <rPr>
            <sz val="9"/>
            <color indexed="81"/>
            <rFont val="Tahoma"/>
            <family val="2"/>
          </rPr>
          <t>Lyhytaikaiset lainat merkitään TASEeseen kohtaan G. Lyhytaikaiset rahoituslaitoslainat ja korko tämän lainataulukon alaosaan kohtaan "Lyhytaikaisten lainojen korot".</t>
        </r>
      </text>
    </comment>
    <comment ref="D7" authorId="0" shapeId="0" xr:uid="{8B35A6E3-C979-45F6-BEEF-3C234F129C0D}">
      <text>
        <r>
          <rPr>
            <b/>
            <sz val="9"/>
            <color indexed="81"/>
            <rFont val="Tahoma"/>
            <family val="2"/>
          </rPr>
          <t>Laaksonen Aki:</t>
        </r>
        <r>
          <rPr>
            <sz val="9"/>
            <color indexed="81"/>
            <rFont val="Tahoma"/>
            <family val="2"/>
          </rPr>
          <t xml:space="preserve">
</t>
        </r>
        <r>
          <rPr>
            <b/>
            <u/>
            <sz val="9"/>
            <color indexed="81"/>
            <rFont val="Tahoma"/>
            <family val="2"/>
          </rPr>
          <t>Lainamäärä viimeisessä tilinpäätöksessä:</t>
        </r>
        <r>
          <rPr>
            <sz val="9"/>
            <color indexed="81"/>
            <rFont val="Tahoma"/>
            <family val="2"/>
          </rPr>
          <t xml:space="preserve">
Velka tai sen osa, joka erääntyy maksettavaksi </t>
        </r>
        <r>
          <rPr>
            <b/>
            <sz val="9"/>
            <color indexed="81"/>
            <rFont val="Tahoma"/>
            <family val="2"/>
          </rPr>
          <t>yhtä vuotta pidempänä aikana</t>
        </r>
        <r>
          <rPr>
            <sz val="9"/>
            <color indexed="81"/>
            <rFont val="Tahoma"/>
            <family val="2"/>
          </rPr>
          <t xml:space="preserve">.
</t>
        </r>
        <r>
          <rPr>
            <b/>
            <u/>
            <sz val="9"/>
            <color indexed="81"/>
            <rFont val="Tahoma"/>
            <family val="2"/>
          </rPr>
          <t>Esimerkki:</t>
        </r>
        <r>
          <rPr>
            <sz val="9"/>
            <color indexed="81"/>
            <rFont val="Tahoma"/>
            <family val="2"/>
          </rPr>
          <t xml:space="preserve">
5 vuoden laina 100 000 €. Lainasta on 4 vuotta pitkäaikaista ja 1 vuosi lyhytaikaista lainaa eli merkitään tähän lainamääräksi 80 000 €.</t>
        </r>
      </text>
    </comment>
    <comment ref="C11" authorId="0" shapeId="0" xr:uid="{2E1868CE-D1A3-4128-869D-0105ECB5CC98}">
      <text>
        <r>
          <rPr>
            <b/>
            <sz val="9"/>
            <color indexed="81"/>
            <rFont val="Tahoma"/>
            <family val="2"/>
          </rPr>
          <t>Laaksonen Aki:</t>
        </r>
        <r>
          <rPr>
            <sz val="9"/>
            <color indexed="81"/>
            <rFont val="Tahoma"/>
            <family val="2"/>
          </rPr>
          <t xml:space="preserve">
Kirjoita tähän rahoittaja/rahoitettava kohde.
</t>
        </r>
      </text>
    </comment>
    <comment ref="D11" authorId="0" shapeId="0" xr:uid="{8E07FE68-A3D3-45DB-AA59-557E45BA3162}">
      <text>
        <r>
          <rPr>
            <b/>
            <sz val="9"/>
            <color indexed="81"/>
            <rFont val="Tahoma"/>
            <family val="2"/>
          </rPr>
          <t>Laaksonen Aki:</t>
        </r>
        <r>
          <rPr>
            <sz val="9"/>
            <color indexed="81"/>
            <rFont val="Tahoma"/>
            <family val="2"/>
          </rPr>
          <t xml:space="preserve">
</t>
        </r>
        <r>
          <rPr>
            <b/>
            <u/>
            <sz val="9"/>
            <color indexed="81"/>
            <rFont val="Tahoma"/>
            <family val="2"/>
          </rPr>
          <t>Lainamäärä viimeisessä tilinpäätöksessä:</t>
        </r>
        <r>
          <rPr>
            <sz val="9"/>
            <color indexed="81"/>
            <rFont val="Tahoma"/>
            <family val="2"/>
          </rPr>
          <t xml:space="preserve">
Luku löytyy tilinpäätöksen Tase-erittelystä, jossa kaikki pitkäaikaiset lainat ovat eritelty. 
</t>
        </r>
        <r>
          <rPr>
            <b/>
            <sz val="9"/>
            <color indexed="81"/>
            <rFont val="Tahoma"/>
            <family val="2"/>
          </rPr>
          <t>Varmista, että lukuun ei sisälly 1. ennustevuoden lyhennystä!</t>
        </r>
        <r>
          <rPr>
            <sz val="9"/>
            <color indexed="81"/>
            <rFont val="Tahoma"/>
            <family val="2"/>
          </rPr>
          <t xml:space="preserve">
</t>
        </r>
        <r>
          <rPr>
            <b/>
            <sz val="9"/>
            <color indexed="81"/>
            <rFont val="Tahoma"/>
            <family val="2"/>
          </rPr>
          <t>Jos lainan takaisinmaksuaika on 1 vuosi, on laina lyhytaikainen</t>
        </r>
        <r>
          <rPr>
            <sz val="9"/>
            <color indexed="81"/>
            <rFont val="Tahoma"/>
            <family val="2"/>
          </rPr>
          <t xml:space="preserve">, joka merkitään taulukkoon 3 TASE, soluun H75.
</t>
        </r>
        <r>
          <rPr>
            <b/>
            <u/>
            <sz val="9"/>
            <color indexed="81"/>
            <rFont val="Tahoma"/>
            <family val="2"/>
          </rPr>
          <t>Esimerkki:</t>
        </r>
        <r>
          <rPr>
            <sz val="9"/>
            <color indexed="81"/>
            <rFont val="Tahoma"/>
            <family val="2"/>
          </rPr>
          <t xml:space="preserve">
Laina-aikaa jäljellä 5 vuotta = Pitkäaikaista lainaa 4 vuotta ja lyhytaikaista lainaa 1 vuosi.
5 vuoden laina 100 000 €. Lainasta on 4 vuotta pitkäaikaista ja 1 vuosi lyhytaikaista lainaa eli merkitään tähän lainamääräksi 80 000 €.</t>
        </r>
      </text>
    </comment>
    <comment ref="E11" authorId="0" shapeId="0" xr:uid="{0ACC1231-3173-4D61-9477-09C0DB6B06D3}">
      <text>
        <r>
          <rPr>
            <b/>
            <sz val="9"/>
            <color indexed="81"/>
            <rFont val="Tahoma"/>
            <family val="2"/>
          </rPr>
          <t>Laaksonen Aki:</t>
        </r>
        <r>
          <rPr>
            <sz val="9"/>
            <color indexed="81"/>
            <rFont val="Tahoma"/>
            <family val="2"/>
          </rPr>
          <t xml:space="preserve">
</t>
        </r>
        <r>
          <rPr>
            <b/>
            <u/>
            <sz val="9"/>
            <color indexed="81"/>
            <rFont val="Tahoma"/>
            <family val="2"/>
          </rPr>
          <t>Laina-aikaa jäljellä:</t>
        </r>
        <r>
          <rPr>
            <sz val="9"/>
            <color indexed="81"/>
            <rFont val="Tahoma"/>
            <family val="2"/>
          </rPr>
          <t xml:space="preserve">
Laina-aikaa jäljellä (vuotta) sisältää myös 1. ennustevuoden. </t>
        </r>
        <r>
          <rPr>
            <b/>
            <sz val="9"/>
            <color indexed="81"/>
            <rFont val="Tahoma"/>
            <family val="2"/>
          </rPr>
          <t>Kirjoita kokonaislukuna!</t>
        </r>
        <r>
          <rPr>
            <sz val="9"/>
            <color indexed="81"/>
            <rFont val="Tahoma"/>
            <family val="2"/>
          </rPr>
          <t xml:space="preserve">
</t>
        </r>
        <r>
          <rPr>
            <b/>
            <sz val="9"/>
            <color indexed="81"/>
            <rFont val="Tahoma"/>
            <family val="2"/>
          </rPr>
          <t>Jos lainan takaisinmaksuaika on 1 vuosi, on laina lyhytaikainen</t>
        </r>
        <r>
          <rPr>
            <sz val="9"/>
            <color indexed="81"/>
            <rFont val="Tahoma"/>
            <family val="2"/>
          </rPr>
          <t>. Summa merkitään taulukkoon 3 TASE soluun H75.</t>
        </r>
      </text>
    </comment>
    <comment ref="F11" authorId="0" shapeId="0" xr:uid="{17C70473-B80D-46D0-A0F2-AB043DFE0935}">
      <text>
        <r>
          <rPr>
            <b/>
            <sz val="9"/>
            <color indexed="81"/>
            <rFont val="Tahoma"/>
            <family val="2"/>
          </rPr>
          <t>Laaksonen Aki:</t>
        </r>
        <r>
          <rPr>
            <sz val="9"/>
            <color indexed="81"/>
            <rFont val="Tahoma"/>
            <family val="2"/>
          </rPr>
          <t xml:space="preserve">
</t>
        </r>
        <r>
          <rPr>
            <b/>
            <u/>
            <sz val="9"/>
            <color indexed="81"/>
            <rFont val="Tahoma"/>
            <family val="2"/>
          </rPr>
          <t>Korko:</t>
        </r>
        <r>
          <rPr>
            <sz val="9"/>
            <color indexed="81"/>
            <rFont val="Tahoma"/>
            <family val="2"/>
          </rPr>
          <t xml:space="preserve">
Lyhytaikaisen lainan korko merkitään taulukon alareunaan kohtaan "Lyhytaikaisten lainojen korot".</t>
        </r>
      </text>
    </comment>
    <comment ref="G11" authorId="0" shapeId="0" xr:uid="{D770C2CF-9E71-4AA1-BE25-F60018E50924}">
      <text>
        <r>
          <rPr>
            <b/>
            <sz val="9"/>
            <color indexed="81"/>
            <rFont val="Tahoma"/>
            <family val="2"/>
          </rPr>
          <t>Laaksonen Aki:</t>
        </r>
        <r>
          <rPr>
            <sz val="9"/>
            <color indexed="81"/>
            <rFont val="Tahoma"/>
            <family val="2"/>
          </rPr>
          <t xml:space="preserve">
</t>
        </r>
        <r>
          <rPr>
            <b/>
            <u/>
            <sz val="9"/>
            <color indexed="81"/>
            <rFont val="Tahoma"/>
            <family val="2"/>
          </rPr>
          <t>Lyhennys:</t>
        </r>
        <r>
          <rPr>
            <sz val="9"/>
            <color indexed="81"/>
            <rFont val="Tahoma"/>
            <family val="2"/>
          </rPr>
          <t xml:space="preserve">
Luku löytyy tilinpäätöksen Tase-erittelystä, jossa on eritelty kaikkien pitkäaikaisten lainojen seuraavan vuoden lyhennys.
Tulevien vuosien lyhennys voi poiketa tästä luvusta.</t>
        </r>
      </text>
    </comment>
    <comment ref="C18" authorId="0" shapeId="0" xr:uid="{593C2FBE-B450-427E-9067-68CCD8D302D0}">
      <text>
        <r>
          <rPr>
            <b/>
            <sz val="9"/>
            <color indexed="81"/>
            <rFont val="Tahoma"/>
            <family val="2"/>
          </rPr>
          <t>Laaksonen Aki:</t>
        </r>
        <r>
          <rPr>
            <sz val="9"/>
            <color indexed="81"/>
            <rFont val="Tahoma"/>
            <family val="2"/>
          </rPr>
          <t xml:space="preserve">
Luotollinen tili merkitään pitkäaikaisena lainana. Laina-ajaksi esim. 20 vuotta, jos luottolimiitti on yleensä kokonaan käytössä.
</t>
        </r>
      </text>
    </comment>
    <comment ref="D19" authorId="0" shapeId="0" xr:uid="{3E93190C-C5F9-4DFB-8661-BD88E58C8820}">
      <text>
        <r>
          <rPr>
            <b/>
            <sz val="9"/>
            <color indexed="81"/>
            <rFont val="Tahoma"/>
            <family val="2"/>
          </rPr>
          <t>Laaksonen Aki:</t>
        </r>
        <r>
          <rPr>
            <sz val="9"/>
            <color indexed="81"/>
            <rFont val="Tahoma"/>
            <family val="2"/>
          </rPr>
          <t xml:space="preserve">
</t>
        </r>
        <r>
          <rPr>
            <b/>
            <u/>
            <sz val="9"/>
            <color indexed="81"/>
            <rFont val="Tahoma"/>
            <family val="2"/>
          </rPr>
          <t>Nykyiset lainat yhteensä:</t>
        </r>
        <r>
          <rPr>
            <sz val="9"/>
            <color indexed="81"/>
            <rFont val="Tahoma"/>
            <family val="2"/>
          </rPr>
          <t xml:space="preserve">
Varmista, että luku on sama kuin solu H65 taulukossa 3 TASE!
</t>
        </r>
        <r>
          <rPr>
            <b/>
            <sz val="9"/>
            <color indexed="81"/>
            <rFont val="Tahoma"/>
            <family val="2"/>
          </rPr>
          <t>Jos lainan takaisinmaksuaika on 1 vuosi, on laina lyhytaikainen</t>
        </r>
        <r>
          <rPr>
            <sz val="9"/>
            <color indexed="81"/>
            <rFont val="Tahoma"/>
            <family val="2"/>
          </rPr>
          <t xml:space="preserve"> ja summa merkitään taulukon 3 TASE soluun H75.</t>
        </r>
      </text>
    </comment>
    <comment ref="G19" authorId="0" shapeId="0" xr:uid="{BD116262-FA41-48C7-BC6C-924D8AAA2B65}">
      <text>
        <r>
          <rPr>
            <b/>
            <sz val="9"/>
            <color indexed="81"/>
            <rFont val="Tahoma"/>
            <family val="2"/>
          </rPr>
          <t>Laaksonen Aki:</t>
        </r>
        <r>
          <rPr>
            <sz val="9"/>
            <color indexed="81"/>
            <rFont val="Tahoma"/>
            <family val="2"/>
          </rPr>
          <t xml:space="preserve">
</t>
        </r>
        <r>
          <rPr>
            <b/>
            <u/>
            <sz val="9"/>
            <color indexed="81"/>
            <rFont val="Tahoma"/>
            <family val="2"/>
          </rPr>
          <t>Pitkäaikaisten lainojen lyhennys:</t>
        </r>
        <r>
          <rPr>
            <sz val="9"/>
            <color indexed="81"/>
            <rFont val="Tahoma"/>
            <family val="2"/>
          </rPr>
          <t xml:space="preserve">
Varmista, että luku on sama kuin solu H74 taulukossa 3 TASE!
</t>
        </r>
        <r>
          <rPr>
            <b/>
            <sz val="9"/>
            <color indexed="81"/>
            <rFont val="Tahoma"/>
            <family val="2"/>
          </rPr>
          <t>Jos lainan takaisinmaksuaika on 1 vuosi, on laina lyhytaikainen</t>
        </r>
        <r>
          <rPr>
            <sz val="9"/>
            <color indexed="81"/>
            <rFont val="Tahoma"/>
            <family val="2"/>
          </rPr>
          <t xml:space="preserve"> ja summa merkitään taulukon 3 TASE soluun H75.</t>
        </r>
      </text>
    </comment>
    <comment ref="E20" authorId="0" shapeId="0" xr:uid="{A8ABFE2B-944A-4A5B-808F-295AC298605C}">
      <text>
        <r>
          <rPr>
            <b/>
            <sz val="9"/>
            <color indexed="81"/>
            <rFont val="Tahoma"/>
            <family val="2"/>
          </rPr>
          <t>Laaksonen Aki:</t>
        </r>
        <r>
          <rPr>
            <sz val="9"/>
            <color indexed="81"/>
            <rFont val="Tahoma"/>
            <family val="2"/>
          </rPr>
          <t xml:space="preserve">
</t>
        </r>
        <r>
          <rPr>
            <b/>
            <u/>
            <sz val="9"/>
            <color indexed="81"/>
            <rFont val="Tahoma"/>
            <family val="2"/>
          </rPr>
          <t>Laina-aikaa jäljellä (osamaksuvelat):</t>
        </r>
        <r>
          <rPr>
            <sz val="9"/>
            <color indexed="81"/>
            <rFont val="Tahoma"/>
            <family val="2"/>
          </rPr>
          <t xml:space="preserve">
</t>
        </r>
        <r>
          <rPr>
            <b/>
            <sz val="9"/>
            <color indexed="81"/>
            <rFont val="Tahoma"/>
            <family val="2"/>
          </rPr>
          <t xml:space="preserve">Osamaksuvelan takaisinmaksuaika on oltava kokonaisluku! </t>
        </r>
        <r>
          <rPr>
            <sz val="9"/>
            <color indexed="81"/>
            <rFont val="Tahoma"/>
            <family val="2"/>
          </rPr>
          <t xml:space="preserve">Pyöristetään alaspäin. 
</t>
        </r>
        <r>
          <rPr>
            <b/>
            <sz val="9"/>
            <color indexed="81"/>
            <rFont val="Tahoma"/>
            <family val="2"/>
          </rPr>
          <t>Jos lainan takaisinmaksuaika on 1 vuosi, on laina lyhytaikainen.</t>
        </r>
        <r>
          <rPr>
            <sz val="9"/>
            <color indexed="81"/>
            <rFont val="Tahoma"/>
            <family val="2"/>
          </rPr>
          <t xml:space="preserve"> Summa merkitään taulukon 3 TASE soluun H75.</t>
        </r>
      </text>
    </comment>
    <comment ref="C25" authorId="0" shapeId="0" xr:uid="{5D67573D-7C49-4149-97B0-95A07148210E}">
      <text>
        <r>
          <rPr>
            <b/>
            <sz val="9"/>
            <color indexed="81"/>
            <rFont val="Tahoma"/>
            <family val="2"/>
          </rPr>
          <t>Laaksonen Aki:</t>
        </r>
        <r>
          <rPr>
            <sz val="9"/>
            <color indexed="81"/>
            <rFont val="Tahoma"/>
            <family val="2"/>
          </rPr>
          <t xml:space="preserve">
Pääomalaina merkitään taulukkoon 1 INVESTOINTISUUNNITELMA kohtaan 13.
</t>
        </r>
      </text>
    </comment>
    <comment ref="E25" authorId="0" shapeId="0" xr:uid="{469C2BF4-7B20-45FA-89B1-498A7533A597}">
      <text>
        <r>
          <rPr>
            <b/>
            <sz val="9"/>
            <color indexed="81"/>
            <rFont val="Tahoma"/>
            <family val="2"/>
          </rPr>
          <t>Laaksonen Aki:</t>
        </r>
        <r>
          <rPr>
            <sz val="9"/>
            <color indexed="81"/>
            <rFont val="Tahoma"/>
            <family val="2"/>
          </rPr>
          <t xml:space="preserve">
</t>
        </r>
        <r>
          <rPr>
            <b/>
            <u/>
            <sz val="9"/>
            <color indexed="81"/>
            <rFont val="Tahoma"/>
            <family val="2"/>
          </rPr>
          <t>Laina-aika:</t>
        </r>
        <r>
          <rPr>
            <sz val="9"/>
            <color indexed="81"/>
            <rFont val="Tahoma"/>
            <family val="2"/>
          </rPr>
          <t xml:space="preserve">
</t>
        </r>
        <r>
          <rPr>
            <b/>
            <sz val="9"/>
            <color indexed="81"/>
            <rFont val="Tahoma"/>
            <family val="2"/>
          </rPr>
          <t>Jos lainan takaisinmaksuaika on 1 vuosi, on laina lyhytaikainen.</t>
        </r>
        <r>
          <rPr>
            <sz val="9"/>
            <color indexed="81"/>
            <rFont val="Tahoma"/>
            <family val="2"/>
          </rPr>
          <t xml:space="preserve"> Summa merkitään taulukkoon 3 TASE soluun H75.</t>
        </r>
      </text>
    </comment>
    <comment ref="H25" authorId="0" shapeId="0" xr:uid="{521F3515-7185-4825-8F57-483C18E4767E}">
      <text>
        <r>
          <rPr>
            <b/>
            <sz val="9"/>
            <color indexed="81"/>
            <rFont val="Tahoma"/>
            <family val="2"/>
          </rPr>
          <t>Laaksonen Aki:</t>
        </r>
        <r>
          <rPr>
            <sz val="9"/>
            <color indexed="81"/>
            <rFont val="Tahoma"/>
            <family val="2"/>
          </rPr>
          <t xml:space="preserve">
</t>
        </r>
        <r>
          <rPr>
            <b/>
            <u/>
            <sz val="9"/>
            <color indexed="81"/>
            <rFont val="Tahoma"/>
            <family val="2"/>
          </rPr>
          <t>Lyhennys:</t>
        </r>
        <r>
          <rPr>
            <sz val="9"/>
            <color indexed="81"/>
            <rFont val="Tahoma"/>
            <family val="2"/>
          </rPr>
          <t xml:space="preserve">
Ilmoita vuosittainen lainanlyhennyksen määrä.
Esim. 100 000 € tasaerälaina, laina-aika 5 vuotta = lyhennys 20 000 €.</t>
        </r>
      </text>
    </comment>
    <comment ref="K29" authorId="0" shapeId="0" xr:uid="{FE8C229E-106C-41F9-928F-BB21350DA027}">
      <text>
        <r>
          <rPr>
            <b/>
            <sz val="9"/>
            <color indexed="81"/>
            <rFont val="Tahoma"/>
            <family val="2"/>
          </rPr>
          <t>Laaksonen Aki:</t>
        </r>
        <r>
          <rPr>
            <sz val="9"/>
            <color indexed="81"/>
            <rFont val="Tahoma"/>
            <family val="2"/>
          </rPr>
          <t xml:space="preserve">
</t>
        </r>
        <r>
          <rPr>
            <b/>
            <u/>
            <sz val="9"/>
            <color indexed="81"/>
            <rFont val="Tahoma"/>
            <family val="2"/>
          </rPr>
          <t>Lyhennys:</t>
        </r>
        <r>
          <rPr>
            <sz val="9"/>
            <color indexed="81"/>
            <rFont val="Tahoma"/>
            <family val="2"/>
          </rPr>
          <t xml:space="preserve">
Ilmoita vuosittainen lainanlyhennyksen määrä.
Esim. 100 000 € tasaerälaina, laina-aika 5 vuotta = lyhennys 20 000 €.</t>
        </r>
      </text>
    </comment>
    <comment ref="N29" authorId="0" shapeId="0" xr:uid="{7D97DBDA-5BB4-4A5E-9BE0-F5B60919A6D8}">
      <text>
        <r>
          <rPr>
            <b/>
            <sz val="9"/>
            <color indexed="81"/>
            <rFont val="Tahoma"/>
            <family val="2"/>
          </rPr>
          <t>Laaksonen Aki:</t>
        </r>
        <r>
          <rPr>
            <sz val="9"/>
            <color indexed="81"/>
            <rFont val="Tahoma"/>
            <family val="2"/>
          </rPr>
          <t xml:space="preserve">
</t>
        </r>
        <r>
          <rPr>
            <b/>
            <u/>
            <sz val="9"/>
            <color indexed="81"/>
            <rFont val="Tahoma"/>
            <family val="2"/>
          </rPr>
          <t>Lyhennys:</t>
        </r>
        <r>
          <rPr>
            <sz val="9"/>
            <color indexed="81"/>
            <rFont val="Tahoma"/>
            <family val="2"/>
          </rPr>
          <t xml:space="preserve">
Laske lyhennyserän suuruus, myös viimeinen erä oikein!</t>
        </r>
      </text>
    </comment>
    <comment ref="N33" authorId="0" shapeId="0" xr:uid="{0CB9D6CE-2446-49B8-88FE-1C2E80B9640D}">
      <text>
        <r>
          <rPr>
            <b/>
            <sz val="9"/>
            <color indexed="81"/>
            <rFont val="Tahoma"/>
            <family val="2"/>
          </rPr>
          <t>Laaksonen Aki:</t>
        </r>
        <r>
          <rPr>
            <sz val="9"/>
            <color indexed="81"/>
            <rFont val="Tahoma"/>
            <family val="2"/>
          </rPr>
          <t xml:space="preserve">
</t>
        </r>
        <r>
          <rPr>
            <b/>
            <u/>
            <sz val="9"/>
            <color indexed="81"/>
            <rFont val="Tahoma"/>
            <family val="2"/>
          </rPr>
          <t>Lyhennys:</t>
        </r>
        <r>
          <rPr>
            <sz val="9"/>
            <color indexed="81"/>
            <rFont val="Tahoma"/>
            <family val="2"/>
          </rPr>
          <t xml:space="preserve">
Ilmoita vuosittainen lainanlyhennyksen määrä.
Esim. 100 000 € tasaerälaina, laina-aika 5 vuotta = lyhennys 20 000 €.</t>
        </r>
      </text>
    </comment>
    <comment ref="Q33" authorId="0" shapeId="0" xr:uid="{C5BB4C04-C3F1-401D-B83A-FEBC58C74C3C}">
      <text>
        <r>
          <rPr>
            <b/>
            <sz val="9"/>
            <color indexed="81"/>
            <rFont val="Tahoma"/>
            <family val="2"/>
          </rPr>
          <t>Laaksonen Aki:</t>
        </r>
        <r>
          <rPr>
            <sz val="9"/>
            <color indexed="81"/>
            <rFont val="Tahoma"/>
            <family val="2"/>
          </rPr>
          <t xml:space="preserve">
</t>
        </r>
        <r>
          <rPr>
            <b/>
            <u/>
            <sz val="9"/>
            <color indexed="81"/>
            <rFont val="Tahoma"/>
            <family val="2"/>
          </rPr>
          <t>Lyhennys:</t>
        </r>
        <r>
          <rPr>
            <sz val="9"/>
            <color indexed="81"/>
            <rFont val="Tahoma"/>
            <family val="2"/>
          </rPr>
          <t xml:space="preserve">
Laske lyhennyserän suuruus, myös viimeinen erä oikein!</t>
        </r>
      </text>
    </comment>
    <comment ref="Q37" authorId="0" shapeId="0" xr:uid="{1565EB0F-D39C-4ADC-AD72-93732134207B}">
      <text>
        <r>
          <rPr>
            <b/>
            <sz val="9"/>
            <color indexed="81"/>
            <rFont val="Tahoma"/>
            <family val="2"/>
          </rPr>
          <t>Laaksonen Aki:</t>
        </r>
        <r>
          <rPr>
            <sz val="9"/>
            <color indexed="81"/>
            <rFont val="Tahoma"/>
            <family val="2"/>
          </rPr>
          <t xml:space="preserve">
</t>
        </r>
        <r>
          <rPr>
            <b/>
            <u/>
            <sz val="9"/>
            <color indexed="81"/>
            <rFont val="Tahoma"/>
            <family val="2"/>
          </rPr>
          <t>Lyhennys:</t>
        </r>
        <r>
          <rPr>
            <sz val="9"/>
            <color indexed="81"/>
            <rFont val="Tahoma"/>
            <family val="2"/>
          </rPr>
          <t xml:space="preserve">
Ilmoita vuosittainen lainanlyhennyksen määrä.
Esim. 100 000 € tasaerälaina, laina-aika 5 vuotta = lyhennys 20 000 €.</t>
        </r>
      </text>
    </comment>
    <comment ref="C42" authorId="0" shapeId="0" xr:uid="{E6430E26-0A73-4A92-AC10-A833B6D7547C}">
      <text>
        <r>
          <rPr>
            <b/>
            <sz val="9"/>
            <color indexed="81"/>
            <rFont val="Tahoma"/>
            <family val="2"/>
          </rPr>
          <t>Laaksonen Aki:</t>
        </r>
        <r>
          <rPr>
            <sz val="9"/>
            <color indexed="81"/>
            <rFont val="Tahoma"/>
            <family val="2"/>
          </rPr>
          <t xml:space="preserve">
Kirjoita tähän osamaksuvelan rahoittaja/rahoitettava kohde.
</t>
        </r>
      </text>
    </comment>
    <comment ref="E42" authorId="0" shapeId="0" xr:uid="{A211DAAB-C8A9-4C7D-BF73-2661270892E7}">
      <text>
        <r>
          <rPr>
            <b/>
            <sz val="9"/>
            <color indexed="81"/>
            <rFont val="Tahoma"/>
            <family val="2"/>
          </rPr>
          <t>Laaksonen Aki:</t>
        </r>
        <r>
          <rPr>
            <sz val="9"/>
            <color indexed="81"/>
            <rFont val="Tahoma"/>
            <family val="2"/>
          </rPr>
          <t xml:space="preserve">
</t>
        </r>
        <r>
          <rPr>
            <b/>
            <u/>
            <sz val="9"/>
            <color indexed="81"/>
            <rFont val="Tahoma"/>
            <family val="2"/>
          </rPr>
          <t>Laina-aika:</t>
        </r>
        <r>
          <rPr>
            <sz val="9"/>
            <color indexed="81"/>
            <rFont val="Tahoma"/>
            <family val="2"/>
          </rPr>
          <t xml:space="preserve">
</t>
        </r>
        <r>
          <rPr>
            <b/>
            <sz val="9"/>
            <color indexed="81"/>
            <rFont val="Tahoma"/>
            <family val="2"/>
          </rPr>
          <t>Kirjoita kokonaislukuna!</t>
        </r>
        <r>
          <rPr>
            <sz val="9"/>
            <color indexed="81"/>
            <rFont val="Tahoma"/>
            <family val="2"/>
          </rPr>
          <t xml:space="preserve">
Osamaksuvelan lyhin laina-aika on 2 vuotta.</t>
        </r>
      </text>
    </comment>
    <comment ref="D47" authorId="0" shapeId="0" xr:uid="{3D3685B9-F10A-4F73-BABE-557E23EED5A1}">
      <text>
        <r>
          <rPr>
            <b/>
            <sz val="9"/>
            <color indexed="81"/>
            <rFont val="Tahoma"/>
            <family val="2"/>
          </rPr>
          <t>Laaksonen Aki:</t>
        </r>
        <r>
          <rPr>
            <sz val="9"/>
            <color indexed="81"/>
            <rFont val="Tahoma"/>
            <family val="2"/>
          </rPr>
          <t xml:space="preserve">
</t>
        </r>
        <r>
          <rPr>
            <b/>
            <u/>
            <sz val="9"/>
            <color indexed="81"/>
            <rFont val="Tahoma"/>
            <family val="2"/>
          </rPr>
          <t>Lyhytaikaiset lainat:</t>
        </r>
        <r>
          <rPr>
            <sz val="9"/>
            <color indexed="81"/>
            <rFont val="Tahoma"/>
            <family val="2"/>
          </rPr>
          <t xml:space="preserve">
Siirtyy taulukosta 3 TASE solusta I75.</t>
        </r>
      </text>
    </comment>
    <comment ref="F47" authorId="0" shapeId="0" xr:uid="{5FE8F16E-E3B4-472C-846B-A5C905531B0E}">
      <text>
        <r>
          <rPr>
            <b/>
            <sz val="9"/>
            <color indexed="81"/>
            <rFont val="Tahoma"/>
            <family val="2"/>
          </rPr>
          <t>Laaksonen Aki:</t>
        </r>
        <r>
          <rPr>
            <sz val="9"/>
            <color indexed="81"/>
            <rFont val="Tahoma"/>
            <family val="2"/>
          </rPr>
          <t xml:space="preserve">
Lisää korko-%.</t>
        </r>
      </text>
    </comment>
    <comment ref="D48" authorId="0" shapeId="0" xr:uid="{BE0ECE67-1F1E-4A99-9E43-61111A464319}">
      <text>
        <r>
          <rPr>
            <b/>
            <sz val="9"/>
            <color indexed="81"/>
            <rFont val="Tahoma"/>
            <family val="2"/>
          </rPr>
          <t>Laaksonen Aki:</t>
        </r>
        <r>
          <rPr>
            <sz val="9"/>
            <color indexed="81"/>
            <rFont val="Tahoma"/>
            <family val="2"/>
          </rPr>
          <t xml:space="preserve">
</t>
        </r>
        <r>
          <rPr>
            <b/>
            <u/>
            <sz val="9"/>
            <color indexed="81"/>
            <rFont val="Tahoma"/>
            <family val="2"/>
          </rPr>
          <t>Pääomalainat:</t>
        </r>
        <r>
          <rPr>
            <sz val="9"/>
            <color indexed="81"/>
            <rFont val="Tahoma"/>
            <family val="2"/>
          </rPr>
          <t xml:space="preserve">
Siirtyy taulukosta 3 TASE soluista H66 ja H76.</t>
        </r>
      </text>
    </comment>
    <comment ref="F48" authorId="0" shapeId="0" xr:uid="{164B9DB9-664D-4D1B-B3F1-1D0BD2BB5151}">
      <text>
        <r>
          <rPr>
            <b/>
            <sz val="9"/>
            <color indexed="81"/>
            <rFont val="Tahoma"/>
            <family val="2"/>
          </rPr>
          <t>Laaksonen Aki:</t>
        </r>
        <r>
          <rPr>
            <sz val="9"/>
            <color indexed="81"/>
            <rFont val="Tahoma"/>
            <family val="2"/>
          </rPr>
          <t xml:space="preserve">
Lisää korko-%.</t>
        </r>
      </text>
    </comment>
    <comment ref="D49" authorId="0" shapeId="0" xr:uid="{5235561F-B0A9-4BD3-A618-09D4CCF48F8D}">
      <text>
        <r>
          <rPr>
            <b/>
            <sz val="9"/>
            <color indexed="81"/>
            <rFont val="Tahoma"/>
            <family val="2"/>
          </rPr>
          <t>Laaksonen Aki:</t>
        </r>
        <r>
          <rPr>
            <sz val="9"/>
            <color indexed="81"/>
            <rFont val="Tahoma"/>
            <family val="2"/>
          </rPr>
          <t xml:space="preserve">
</t>
        </r>
        <r>
          <rPr>
            <b/>
            <u/>
            <sz val="9"/>
            <color indexed="81"/>
            <rFont val="Tahoma"/>
            <family val="2"/>
          </rPr>
          <t>Lyhytaikaiset lainat:</t>
        </r>
        <r>
          <rPr>
            <sz val="9"/>
            <color indexed="81"/>
            <rFont val="Tahoma"/>
            <family val="2"/>
          </rPr>
          <t xml:space="preserve">
Siirtyy taulukosta 3 TASE solusta H71.</t>
        </r>
      </text>
    </comment>
    <comment ref="F49" authorId="0" shapeId="0" xr:uid="{5886D2CC-24D0-4F62-94B9-6EDDDFCCF513}">
      <text>
        <r>
          <rPr>
            <b/>
            <sz val="9"/>
            <color indexed="81"/>
            <rFont val="Tahoma"/>
            <family val="2"/>
          </rPr>
          <t>Laaksonen Aki:</t>
        </r>
        <r>
          <rPr>
            <sz val="9"/>
            <color indexed="81"/>
            <rFont val="Tahoma"/>
            <family val="2"/>
          </rPr>
          <t xml:space="preserve">
Lisää korko-%.</t>
        </r>
      </text>
    </comment>
    <comment ref="I50" authorId="0" shapeId="0" xr:uid="{747C4F5B-39B8-4207-AF3A-92BDC4C74FCE}">
      <text>
        <r>
          <rPr>
            <b/>
            <sz val="9"/>
            <color indexed="81"/>
            <rFont val="Tahoma"/>
            <family val="2"/>
          </rPr>
          <t>Laaksonen Aki:</t>
        </r>
        <r>
          <rPr>
            <sz val="9"/>
            <color indexed="81"/>
            <rFont val="Tahoma"/>
            <family val="2"/>
          </rPr>
          <t xml:space="preserve">
Malli laskee 2 %:n toimitusmaksun lainoille.</t>
        </r>
      </text>
    </comment>
    <comment ref="L50" authorId="0" shapeId="0" xr:uid="{64F0FFA8-6901-4DE6-8D9F-EB3EF78311A8}">
      <text>
        <r>
          <rPr>
            <b/>
            <sz val="9"/>
            <color indexed="81"/>
            <rFont val="Tahoma"/>
            <family val="2"/>
          </rPr>
          <t>Laaksonen Aki:</t>
        </r>
        <r>
          <rPr>
            <sz val="9"/>
            <color indexed="81"/>
            <rFont val="Tahoma"/>
            <family val="2"/>
          </rPr>
          <t xml:space="preserve">
Malli laskee 2 %:n toimitusmaksun lainoille.</t>
        </r>
      </text>
    </comment>
    <comment ref="O50" authorId="0" shapeId="0" xr:uid="{9623EA07-E68D-4D11-8A25-C29CEC46D984}">
      <text>
        <r>
          <rPr>
            <b/>
            <sz val="9"/>
            <color indexed="81"/>
            <rFont val="Tahoma"/>
            <family val="2"/>
          </rPr>
          <t>Laaksonen Aki:</t>
        </r>
        <r>
          <rPr>
            <sz val="9"/>
            <color indexed="81"/>
            <rFont val="Tahoma"/>
            <family val="2"/>
          </rPr>
          <t xml:space="preserve">
Malli laskee 2 %:n toimitusmaksun lainoille.</t>
        </r>
      </text>
    </comment>
    <comment ref="R50" authorId="0" shapeId="0" xr:uid="{76F9E9B9-2AD4-488D-8A3E-D258C5D9BB15}">
      <text>
        <r>
          <rPr>
            <b/>
            <sz val="9"/>
            <color indexed="81"/>
            <rFont val="Tahoma"/>
            <family val="2"/>
          </rPr>
          <t>Laaksonen Aki:</t>
        </r>
        <r>
          <rPr>
            <sz val="9"/>
            <color indexed="81"/>
            <rFont val="Tahoma"/>
            <family val="2"/>
          </rPr>
          <t xml:space="preserve">
Malli laskee 2 %:n toimitusmaksun lainoille.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56" authorId="0" shapeId="0" xr:uid="{535E4BD1-DB79-4AE6-9424-4234AED9DFB3}">
      <text>
        <r>
          <rPr>
            <b/>
            <sz val="9"/>
            <color indexed="81"/>
            <rFont val="Tahoma"/>
            <family val="2"/>
          </rPr>
          <t>Laaksonen Aki:</t>
        </r>
        <r>
          <rPr>
            <sz val="9"/>
            <color indexed="81"/>
            <rFont val="Tahoma"/>
            <family val="2"/>
          </rPr>
          <t xml:space="preserve">
</t>
        </r>
        <r>
          <rPr>
            <b/>
            <u/>
            <sz val="9"/>
            <color indexed="81"/>
            <rFont val="Tahoma"/>
            <family val="2"/>
          </rPr>
          <t xml:space="preserve">
Lyhytaikainen:</t>
        </r>
        <r>
          <rPr>
            <sz val="9"/>
            <color indexed="81"/>
            <rFont val="Tahoma"/>
            <family val="2"/>
          </rPr>
          <t xml:space="preserve">
Seuraavan kauden vanhan lainan lyhennys + kaudella nostettujen uusien lainojen seuraavan vuoden lyhennykset</t>
        </r>
      </text>
    </comment>
    <comment ref="N56" authorId="0" shapeId="0" xr:uid="{3C95E781-F3BF-4DAF-8120-A4DED3B32709}">
      <text>
        <r>
          <rPr>
            <b/>
            <sz val="9"/>
            <color indexed="81"/>
            <rFont val="Tahoma"/>
            <family val="2"/>
          </rPr>
          <t>Laaksonen Aki:</t>
        </r>
        <r>
          <rPr>
            <sz val="9"/>
            <color indexed="81"/>
            <rFont val="Tahoma"/>
            <family val="2"/>
          </rPr>
          <t xml:space="preserve">
</t>
        </r>
        <r>
          <rPr>
            <b/>
            <u/>
            <sz val="9"/>
            <color indexed="81"/>
            <rFont val="Tahoma"/>
            <family val="2"/>
          </rPr>
          <t xml:space="preserve">
Lyhytaikainen:</t>
        </r>
        <r>
          <rPr>
            <sz val="9"/>
            <color indexed="81"/>
            <rFont val="Tahoma"/>
            <family val="2"/>
          </rPr>
          <t xml:space="preserve">
Seuraavan kauden vanhan lainan lyhennys + kaudella nostettujen uusien lainojen seuraavan vuoden lyhennykset</t>
        </r>
      </text>
    </comment>
    <comment ref="T56" authorId="0" shapeId="0" xr:uid="{B97334B8-F6E1-4C29-8658-CE795BEFDC37}">
      <text>
        <r>
          <rPr>
            <b/>
            <sz val="9"/>
            <color indexed="81"/>
            <rFont val="Tahoma"/>
            <family val="2"/>
          </rPr>
          <t>Laaksonen Aki:</t>
        </r>
        <r>
          <rPr>
            <sz val="9"/>
            <color indexed="81"/>
            <rFont val="Tahoma"/>
            <family val="2"/>
          </rPr>
          <t xml:space="preserve">
</t>
        </r>
        <r>
          <rPr>
            <b/>
            <u/>
            <sz val="9"/>
            <color indexed="81"/>
            <rFont val="Tahoma"/>
            <family val="2"/>
          </rPr>
          <t xml:space="preserve">
Lyhytaikainen:</t>
        </r>
        <r>
          <rPr>
            <sz val="9"/>
            <color indexed="81"/>
            <rFont val="Tahoma"/>
            <family val="2"/>
          </rPr>
          <t xml:space="preserve">
Seuraavan kauden vanhan lainan lyhennys + kaudella nostettujen uusien lainojen seuraavan vuoden lyhennykset</t>
        </r>
      </text>
    </comment>
    <comment ref="Z56" authorId="0" shapeId="0" xr:uid="{07BAA4BE-E1DE-4D1C-A233-82B08ED4724E}">
      <text>
        <r>
          <rPr>
            <b/>
            <sz val="9"/>
            <color indexed="81"/>
            <rFont val="Tahoma"/>
            <family val="2"/>
          </rPr>
          <t>Laaksonen Aki:</t>
        </r>
        <r>
          <rPr>
            <sz val="9"/>
            <color indexed="81"/>
            <rFont val="Tahoma"/>
            <family val="2"/>
          </rPr>
          <t xml:space="preserve">
</t>
        </r>
        <r>
          <rPr>
            <b/>
            <u/>
            <sz val="9"/>
            <color indexed="81"/>
            <rFont val="Tahoma"/>
            <family val="2"/>
          </rPr>
          <t xml:space="preserve">
Lyhytaikainen:</t>
        </r>
        <r>
          <rPr>
            <sz val="9"/>
            <color indexed="81"/>
            <rFont val="Tahoma"/>
            <family val="2"/>
          </rPr>
          <t xml:space="preserve">
Seuraavan kauden vanhan lainan lyhennys + kaudella nostettujen uusien lainojen seuraavan vuoden lyhennykset</t>
        </r>
      </text>
    </comment>
    <comment ref="AF56" authorId="0" shapeId="0" xr:uid="{920F7F96-06B4-4918-9912-8821FB517A63}">
      <text>
        <r>
          <rPr>
            <b/>
            <sz val="9"/>
            <color indexed="81"/>
            <rFont val="Tahoma"/>
            <family val="2"/>
          </rPr>
          <t>Laaksonen Aki:</t>
        </r>
        <r>
          <rPr>
            <sz val="9"/>
            <color indexed="81"/>
            <rFont val="Tahoma"/>
            <family val="2"/>
          </rPr>
          <t xml:space="preserve">
</t>
        </r>
        <r>
          <rPr>
            <b/>
            <u/>
            <sz val="9"/>
            <color indexed="81"/>
            <rFont val="Tahoma"/>
            <family val="2"/>
          </rPr>
          <t xml:space="preserve">
Lyhytaikainen:</t>
        </r>
        <r>
          <rPr>
            <sz val="9"/>
            <color indexed="81"/>
            <rFont val="Tahoma"/>
            <family val="2"/>
          </rPr>
          <t xml:space="preserve">
Seuraavan kauden vanhan lainan lyhennys + kaudella nostettujen uusien lainojen seuraavan vuoden lyhennykset</t>
        </r>
      </text>
    </comment>
    <comment ref="AL56" authorId="0" shapeId="0" xr:uid="{EAD83C88-E3BE-48CA-9168-8C10CC8D8DD2}">
      <text>
        <r>
          <rPr>
            <b/>
            <sz val="9"/>
            <color indexed="81"/>
            <rFont val="Tahoma"/>
            <family val="2"/>
          </rPr>
          <t>Laaksonen Aki:</t>
        </r>
        <r>
          <rPr>
            <sz val="9"/>
            <color indexed="81"/>
            <rFont val="Tahoma"/>
            <family val="2"/>
          </rPr>
          <t xml:space="preserve">
</t>
        </r>
        <r>
          <rPr>
            <b/>
            <u/>
            <sz val="9"/>
            <color indexed="81"/>
            <rFont val="Tahoma"/>
            <family val="2"/>
          </rPr>
          <t xml:space="preserve">
Lyhytaikainen:</t>
        </r>
        <r>
          <rPr>
            <sz val="9"/>
            <color indexed="81"/>
            <rFont val="Tahoma"/>
            <family val="2"/>
          </rPr>
          <t xml:space="preserve">
Seuraavan kauden vanhan lainan lyhennys + kaudella nostettujen uusien lainojen seuraavan vuoden lyhennykset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E795736B-55F3-4FE8-AC9C-ED8FEE9ADC6A}">
      <text>
        <r>
          <rPr>
            <b/>
            <sz val="9"/>
            <color indexed="81"/>
            <rFont val="Tahoma"/>
            <family val="2"/>
          </rPr>
          <t>Laaksonen Aki:</t>
        </r>
        <r>
          <rPr>
            <sz val="9"/>
            <color indexed="81"/>
            <rFont val="Tahoma"/>
            <family val="2"/>
          </rPr>
          <t xml:space="preserve">
</t>
        </r>
        <r>
          <rPr>
            <b/>
            <u/>
            <sz val="9"/>
            <color indexed="81"/>
            <rFont val="Tahoma"/>
            <family val="2"/>
          </rPr>
          <t>Kustannukset:</t>
        </r>
        <r>
          <rPr>
            <sz val="9"/>
            <color indexed="81"/>
            <rFont val="Tahoma"/>
            <family val="2"/>
          </rPr>
          <t xml:space="preserve">
</t>
        </r>
        <r>
          <rPr>
            <b/>
            <sz val="9"/>
            <color indexed="81"/>
            <rFont val="Tahoma"/>
            <family val="2"/>
          </rPr>
          <t xml:space="preserve">KAIKKI LUVUT + MERKKISINÄ! Aloita sarakkeesta E toteutuneen tilikauden tiedoilla kohdasta 3. LIIKETOIMINNAN MUUT KULUT. </t>
        </r>
        <r>
          <rPr>
            <sz val="9"/>
            <color indexed="81"/>
            <rFont val="Tahoma"/>
            <family val="2"/>
          </rPr>
          <t xml:space="preserve">
Jos Ennuste 1 -tilikauden pituus on muu kuin 12 kk, muuta kulut vastaavasti. 
</t>
        </r>
        <r>
          <rPr>
            <b/>
            <sz val="9"/>
            <color indexed="81"/>
            <rFont val="Tahoma"/>
            <family val="2"/>
          </rPr>
          <t>Kirjoita luvut ilman senttejä kokonaislukuina.</t>
        </r>
      </text>
    </comment>
    <comment ref="G13" authorId="0" shapeId="0" xr:uid="{02D1E16B-1030-4F20-A8BD-0003DF24E257}">
      <text>
        <r>
          <rPr>
            <b/>
            <sz val="9"/>
            <color indexed="81"/>
            <rFont val="Tahoma"/>
            <family val="2"/>
          </rPr>
          <t>Laaksonen Aki:</t>
        </r>
        <r>
          <rPr>
            <sz val="9"/>
            <color indexed="81"/>
            <rFont val="Tahoma"/>
            <family val="2"/>
          </rPr>
          <t xml:space="preserve">
</t>
        </r>
        <r>
          <rPr>
            <b/>
            <u/>
            <sz val="9"/>
            <color indexed="81"/>
            <rFont val="Tahoma"/>
            <family val="2"/>
          </rPr>
          <t>YEL-yrittäjien kuukausipalkat:</t>
        </r>
        <r>
          <rPr>
            <sz val="9"/>
            <color indexed="81"/>
            <rFont val="Tahoma"/>
            <family val="2"/>
          </rPr>
          <t xml:space="preserve">
</t>
        </r>
        <r>
          <rPr>
            <b/>
            <sz val="9"/>
            <color indexed="81"/>
            <rFont val="Tahoma"/>
            <family val="2"/>
          </rPr>
          <t>Yksityisotto (Tmi, Ky ja Ay) merkitään taulukkoon 8 RAHOITUSSUUNNITELMA soluun H39 - K39.
Muista lisätä/tarkistaa YEL-työtulon määrä solussa F35!</t>
        </r>
        <r>
          <rPr>
            <sz val="9"/>
            <color indexed="81"/>
            <rFont val="Tahoma"/>
            <family val="2"/>
          </rPr>
          <t xml:space="preserve">
</t>
        </r>
        <r>
          <rPr>
            <b/>
            <sz val="9"/>
            <color indexed="81"/>
            <rFont val="Tahoma"/>
            <family val="2"/>
          </rPr>
          <t xml:space="preserve">Toiminimiyrittäjä, liikkeenharjoittaja
</t>
        </r>
        <r>
          <rPr>
            <sz val="9"/>
            <color indexed="81"/>
            <rFont val="Tahoma"/>
            <family val="2"/>
          </rPr>
          <t xml:space="preserve">Ei voi maksaa palkkaa itselleen, puolisolleen tai alle 14-vuotiaalle lapselleen. Yrittäjä nostaa itselleen rahaa yrityksen tililtä yksityisottona.
</t>
        </r>
        <r>
          <rPr>
            <b/>
            <sz val="9"/>
            <color indexed="81"/>
            <rFont val="Tahoma"/>
            <family val="2"/>
          </rPr>
          <t xml:space="preserve">Avoimen ja kommandiittiyhtiön yhtiömies
</t>
        </r>
        <r>
          <rPr>
            <sz val="9"/>
            <color indexed="81"/>
            <rFont val="Tahoma"/>
            <family val="2"/>
          </rPr>
          <t xml:space="preserve">Voi maksaa itselleen palkkaa ja/tai tehdä yksityisottoja.
</t>
        </r>
        <r>
          <rPr>
            <b/>
            <sz val="9"/>
            <color indexed="81"/>
            <rFont val="Tahoma"/>
            <family val="2"/>
          </rPr>
          <t xml:space="preserve">Osakeyhtiö
</t>
        </r>
        <r>
          <rPr>
            <sz val="9"/>
            <color indexed="81"/>
            <rFont val="Tahoma"/>
            <family val="2"/>
          </rPr>
          <t>Normaalisti yrittäjä maksaa itselleen palkkaa, mutta palkanmaksu ei ole pakollista. Yksityisottoja ei voi nostaa osakeyhtiössä.</t>
        </r>
      </text>
    </comment>
    <comment ref="Q13" authorId="0" shapeId="0" xr:uid="{4FC71689-1F58-47A5-983A-3698529E3269}">
      <text>
        <r>
          <rPr>
            <b/>
            <sz val="9"/>
            <color indexed="81"/>
            <rFont val="Tahoma"/>
            <family val="2"/>
          </rPr>
          <t>Laaksonen Aki:</t>
        </r>
        <r>
          <rPr>
            <sz val="9"/>
            <color indexed="81"/>
            <rFont val="Tahoma"/>
            <family val="2"/>
          </rPr>
          <t xml:space="preserve">
Kustannusten muutosprosentti.
Muuta prosenttilukua tarvittaessa tai kirjoita luku suoraan taulukkoon.</t>
        </r>
      </text>
    </comment>
    <comment ref="G14" authorId="0" shapeId="0" xr:uid="{BDCFBD0D-6CA1-4AB7-B233-C10A40AE6FD7}">
      <text>
        <r>
          <rPr>
            <b/>
            <sz val="9"/>
            <color indexed="81"/>
            <rFont val="Tahoma"/>
            <family val="2"/>
          </rPr>
          <t>Laaksonen Aki:</t>
        </r>
        <r>
          <rPr>
            <sz val="9"/>
            <color indexed="81"/>
            <rFont val="Tahoma"/>
            <family val="2"/>
          </rPr>
          <t xml:space="preserve">
</t>
        </r>
        <r>
          <rPr>
            <b/>
            <u/>
            <sz val="9"/>
            <color indexed="81"/>
            <rFont val="Tahoma"/>
            <family val="2"/>
          </rPr>
          <t>YEL-yrittäjien luontoisedut:</t>
        </r>
        <r>
          <rPr>
            <sz val="9"/>
            <color indexed="81"/>
            <rFont val="Tahoma"/>
            <family val="2"/>
          </rPr>
          <t xml:space="preserve">
Luontoisetuja ei voi antaa toiminimiyrittäjälle. 
Avoimessa ja kommandiittiyhtiössä mahdollista, jos yhtiömiehelle maksetaan palkkaa.</t>
        </r>
      </text>
    </comment>
    <comment ref="G15" authorId="0" shapeId="0" xr:uid="{5390B272-AF19-4D6E-BBB2-A604446F8D02}">
      <text>
        <r>
          <rPr>
            <b/>
            <sz val="9"/>
            <color indexed="81"/>
            <rFont val="Tahoma"/>
            <family val="2"/>
          </rPr>
          <t>Laaksonen Aki:</t>
        </r>
        <r>
          <rPr>
            <sz val="9"/>
            <color indexed="81"/>
            <rFont val="Tahoma"/>
            <family val="2"/>
          </rPr>
          <t xml:space="preserve">
</t>
        </r>
        <r>
          <rPr>
            <b/>
            <u/>
            <sz val="9"/>
            <color indexed="81"/>
            <rFont val="Tahoma"/>
            <family val="2"/>
          </rPr>
          <t>Palkanmaksukuukaudet:</t>
        </r>
        <r>
          <rPr>
            <sz val="9"/>
            <color indexed="81"/>
            <rFont val="Tahoma"/>
            <family val="2"/>
          </rPr>
          <t xml:space="preserve">
Palkanmaksukuukausia 12,5. Jos lomarahoja (= 1/2 lomapalkasta) ei makseta, on luku 12.
Lomapalkka lisätään automaattisesti taulukko 2 TULOSSUUNNITELMAn kohtaan 7. Henkilöstökulut.
Jos lomapalkkavarausta ei tehdä, merkitään taulukkoon 3 TASE solut G93 - L93 nollaksi.</t>
        </r>
      </text>
    </comment>
    <comment ref="G16" authorId="0" shapeId="0" xr:uid="{5C7901C6-83C2-4C68-998D-000E950B5E08}">
      <text>
        <r>
          <rPr>
            <b/>
            <sz val="9"/>
            <color indexed="81"/>
            <rFont val="Tahoma"/>
            <family val="2"/>
          </rPr>
          <t>Laaksonen Aki:</t>
        </r>
        <r>
          <rPr>
            <sz val="9"/>
            <color indexed="81"/>
            <rFont val="Tahoma"/>
            <family val="2"/>
          </rPr>
          <t xml:space="preserve">
</t>
        </r>
        <r>
          <rPr>
            <b/>
            <u/>
            <sz val="9"/>
            <color indexed="81"/>
            <rFont val="Tahoma"/>
            <family val="2"/>
          </rPr>
          <t>YEL-yrittäjien keskimääräinen veronpidätys:</t>
        </r>
        <r>
          <rPr>
            <sz val="9"/>
            <color indexed="81"/>
            <rFont val="Tahoma"/>
            <family val="2"/>
          </rPr>
          <t xml:space="preserve">
Kaikkien YEL-yrittäjien keskimääräinen ennakkoveron pidätys-%.</t>
        </r>
      </text>
    </comment>
    <comment ref="D17" authorId="0" shapeId="0" xr:uid="{C3075A56-17DA-4E0D-A5F5-BC87605C1D19}">
      <text>
        <r>
          <rPr>
            <b/>
            <sz val="9"/>
            <color indexed="81"/>
            <rFont val="Tahoma"/>
            <family val="2"/>
          </rPr>
          <t>Laaksonen Aki:</t>
        </r>
        <r>
          <rPr>
            <sz val="9"/>
            <color indexed="81"/>
            <rFont val="Tahoma"/>
            <family val="2"/>
          </rPr>
          <t xml:space="preserve">
Voit muuttaa nimityksen haluamaksesi.</t>
        </r>
      </text>
    </comment>
    <comment ref="G19" authorId="0" shapeId="0" xr:uid="{1012B2AD-445C-4A39-8175-E8718B921708}">
      <text>
        <r>
          <rPr>
            <b/>
            <sz val="9"/>
            <color indexed="81"/>
            <rFont val="Tahoma"/>
            <family val="2"/>
          </rPr>
          <t>Laaksonen Aki:</t>
        </r>
        <r>
          <rPr>
            <sz val="9"/>
            <color indexed="81"/>
            <rFont val="Tahoma"/>
            <family val="2"/>
          </rPr>
          <t xml:space="preserve">
</t>
        </r>
        <r>
          <rPr>
            <b/>
            <u/>
            <sz val="9"/>
            <color indexed="81"/>
            <rFont val="Tahoma"/>
            <family val="2"/>
          </rPr>
          <t>Työtunnit / kk:</t>
        </r>
        <r>
          <rPr>
            <sz val="9"/>
            <color indexed="81"/>
            <rFont val="Tahoma"/>
            <family val="2"/>
          </rPr>
          <t xml:space="preserve">
Työtunnit kuukaudessa:
8,0 h päivässä = 172 h/kk
7,6 h päivässä = 162 h/kk
7,5 h päivässä = 150 h/kk</t>
        </r>
      </text>
    </comment>
    <comment ref="G21" authorId="0" shapeId="0" xr:uid="{2BDF21AE-DB38-434A-A1E5-349CE2067326}">
      <text>
        <r>
          <rPr>
            <b/>
            <sz val="9"/>
            <color indexed="81"/>
            <rFont val="Tahoma"/>
            <family val="2"/>
          </rPr>
          <t>Laaksonen Aki:</t>
        </r>
        <r>
          <rPr>
            <sz val="9"/>
            <color indexed="81"/>
            <rFont val="Tahoma"/>
            <family val="2"/>
          </rPr>
          <t xml:space="preserve">
</t>
        </r>
        <r>
          <rPr>
            <b/>
            <u/>
            <sz val="9"/>
            <color indexed="81"/>
            <rFont val="Tahoma"/>
            <family val="2"/>
          </rPr>
          <t>Palkanmaksukuukaudet:</t>
        </r>
        <r>
          <rPr>
            <sz val="9"/>
            <color indexed="81"/>
            <rFont val="Tahoma"/>
            <family val="2"/>
          </rPr>
          <t xml:space="preserve">
Palkanmaksukuukausia 12,5. Jos lomarahoja (= 1/2 lomapalkasta) ei makseta, on luku 12.
Lomapalkka lisätään automaattisesti taulukko 2 TULOSSUUNNITELMAn kohtaan 7. Henkilöstökulut.
Jos lomapalkkavarausta ei tehdä, merkitään taulukkoon 3 TASE solut G93 - L93 nollaksi.</t>
        </r>
      </text>
    </comment>
    <comment ref="G23" authorId="0" shapeId="0" xr:uid="{7CDC5CAD-D24E-49F7-A54B-953F4E579BA0}">
      <text>
        <r>
          <rPr>
            <b/>
            <sz val="9"/>
            <color indexed="81"/>
            <rFont val="Tahoma"/>
            <family val="2"/>
          </rPr>
          <t>Laaksonen Aki:</t>
        </r>
        <r>
          <rPr>
            <sz val="9"/>
            <color indexed="81"/>
            <rFont val="Tahoma"/>
            <family val="2"/>
          </rPr>
          <t xml:space="preserve">
</t>
        </r>
        <r>
          <rPr>
            <b/>
            <u/>
            <sz val="9"/>
            <color indexed="81"/>
            <rFont val="Tahoma"/>
            <family val="2"/>
          </rPr>
          <t>Keskimääräinen veronpidätys:</t>
        </r>
        <r>
          <rPr>
            <sz val="9"/>
            <color indexed="81"/>
            <rFont val="Tahoma"/>
            <family val="2"/>
          </rPr>
          <t xml:space="preserve">
Kaikkien ryhmään 1.2 kuuluvien henkilöiden keskimääräinen ennakkoveron pidätys-%.</t>
        </r>
      </text>
    </comment>
    <comment ref="D24" authorId="0" shapeId="0" xr:uid="{E3713448-576F-4FD5-8792-2B71DE239FDB}">
      <text>
        <r>
          <rPr>
            <b/>
            <sz val="9"/>
            <color indexed="81"/>
            <rFont val="Tahoma"/>
            <family val="2"/>
          </rPr>
          <t>Laaksonen Aki:</t>
        </r>
        <r>
          <rPr>
            <sz val="9"/>
            <color indexed="81"/>
            <rFont val="Tahoma"/>
            <family val="2"/>
          </rPr>
          <t xml:space="preserve">
Voit muuttaa nimityksen haluamaksesi.</t>
        </r>
      </text>
    </comment>
    <comment ref="G27" authorId="0" shapeId="0" xr:uid="{CE19C14D-54EA-4CB4-9C5D-3C69C8041BB5}">
      <text>
        <r>
          <rPr>
            <b/>
            <sz val="9"/>
            <color indexed="81"/>
            <rFont val="Tahoma"/>
            <family val="2"/>
          </rPr>
          <t>Laaksonen Aki:</t>
        </r>
        <r>
          <rPr>
            <sz val="9"/>
            <color indexed="81"/>
            <rFont val="Tahoma"/>
            <family val="2"/>
          </rPr>
          <t xml:space="preserve">
</t>
        </r>
        <r>
          <rPr>
            <b/>
            <u/>
            <sz val="9"/>
            <color indexed="81"/>
            <rFont val="Tahoma"/>
            <family val="2"/>
          </rPr>
          <t>Palkanmaksukuukaudet:</t>
        </r>
        <r>
          <rPr>
            <sz val="9"/>
            <color indexed="81"/>
            <rFont val="Tahoma"/>
            <family val="2"/>
          </rPr>
          <t xml:space="preserve">
Palkanmaksukuukausia 12,5. Jos lomarahoja (= 1/2 lomapalkasta) ei makseta, on luku 12.
Lomapalkka lisätään automaattisesti taulukko 2 TULOSSUUNNITELMAn kohtaan 7. Henkilöstökulut.
Jos lomapalkkavarausta ei tehdä, merkitään taulukkoon 3 TASE solut G93 - L93 nollaksi.</t>
        </r>
      </text>
    </comment>
    <comment ref="G29" authorId="0" shapeId="0" xr:uid="{247C7726-E0D3-47D2-A35A-09A9083C6991}">
      <text>
        <r>
          <rPr>
            <b/>
            <sz val="9"/>
            <color indexed="81"/>
            <rFont val="Tahoma"/>
            <family val="2"/>
          </rPr>
          <t>Laaksonen Aki:</t>
        </r>
        <r>
          <rPr>
            <sz val="9"/>
            <color indexed="81"/>
            <rFont val="Tahoma"/>
            <family val="2"/>
          </rPr>
          <t xml:space="preserve">
</t>
        </r>
        <r>
          <rPr>
            <b/>
            <u/>
            <sz val="9"/>
            <color indexed="81"/>
            <rFont val="Tahoma"/>
            <family val="2"/>
          </rPr>
          <t>Keskimääräinen veronpidätys:</t>
        </r>
        <r>
          <rPr>
            <sz val="9"/>
            <color indexed="81"/>
            <rFont val="Tahoma"/>
            <family val="2"/>
          </rPr>
          <t xml:space="preserve">
Kaikkien ryhmään 1.3 kuuluvien henkilöiden keskimääräinen ennakkoveron pidätys-%.</t>
        </r>
      </text>
    </comment>
    <comment ref="G33" authorId="0" shapeId="0" xr:uid="{6D714196-7F37-4106-BA19-09FFE4439B9C}">
      <text>
        <r>
          <rPr>
            <b/>
            <sz val="9"/>
            <color indexed="81"/>
            <rFont val="Tahoma"/>
            <family val="2"/>
          </rPr>
          <t>Laaksonen Aki:</t>
        </r>
        <r>
          <rPr>
            <sz val="9"/>
            <color indexed="81"/>
            <rFont val="Tahoma"/>
            <family val="2"/>
          </rPr>
          <t xml:space="preserve">
</t>
        </r>
        <r>
          <rPr>
            <b/>
            <u/>
            <sz val="9"/>
            <color indexed="81"/>
            <rFont val="Tahoma"/>
            <family val="2"/>
          </rPr>
          <t>Yritykseltä peritty TyEL-vakuutusmaksu:</t>
        </r>
        <r>
          <rPr>
            <sz val="9"/>
            <color indexed="81"/>
            <rFont val="Tahoma"/>
            <family val="2"/>
          </rPr>
          <t xml:space="preserve">
</t>
        </r>
        <r>
          <rPr>
            <b/>
            <sz val="9"/>
            <color indexed="81"/>
            <rFont val="Tahoma"/>
            <family val="2"/>
          </rPr>
          <t>2026</t>
        </r>
        <r>
          <rPr>
            <sz val="9"/>
            <color indexed="81"/>
            <rFont val="Tahoma"/>
            <family val="2"/>
          </rPr>
          <t xml:space="preserve">
Yritys maksaa vakuutusyhtiölle TyEL-maksua keskimäärin 17,1 % palkoista.</t>
        </r>
      </text>
    </comment>
    <comment ref="G35" authorId="0" shapeId="0" xr:uid="{2C36E71D-45FB-4679-9BC3-D246266B5088}">
      <text>
        <r>
          <rPr>
            <b/>
            <sz val="9"/>
            <color indexed="81"/>
            <rFont val="Tahoma"/>
            <family val="2"/>
          </rPr>
          <t>Laaksonen Aki:</t>
        </r>
        <r>
          <rPr>
            <sz val="9"/>
            <color indexed="81"/>
            <rFont val="Tahoma"/>
            <family val="2"/>
          </rPr>
          <t xml:space="preserve">
</t>
        </r>
        <r>
          <rPr>
            <b/>
            <u/>
            <sz val="9"/>
            <color indexed="81"/>
            <rFont val="Tahoma"/>
            <family val="2"/>
          </rPr>
          <t>YEL-maksujen työtulo:</t>
        </r>
        <r>
          <rPr>
            <sz val="9"/>
            <color indexed="81"/>
            <rFont val="Tahoma"/>
            <family val="2"/>
          </rPr>
          <t xml:space="preserve">
Kaikkien YEL-yrittäjien työtulo kohdan 1 palkkatulon mukaan yhteensä. YEL-työtulon tulisi vastata työstä saatavaa palkkaa.
Lukua voidaan muuttaa.
Työtulo voi olla nolla vain, jos yrittäjien eläketurva on järjestetty toisessa yrityksessä.</t>
        </r>
      </text>
    </comment>
    <comment ref="G36" authorId="0" shapeId="0" xr:uid="{2CE26956-C023-46DB-BC68-0C48891AF603}">
      <text>
        <r>
          <rPr>
            <b/>
            <sz val="9"/>
            <color indexed="81"/>
            <rFont val="Tahoma"/>
            <family val="2"/>
          </rPr>
          <t>Laaksonen Aki:</t>
        </r>
        <r>
          <rPr>
            <sz val="9"/>
            <color indexed="81"/>
            <rFont val="Tahoma"/>
            <family val="2"/>
          </rPr>
          <t xml:space="preserve">
</t>
        </r>
        <r>
          <rPr>
            <b/>
            <u/>
            <sz val="9"/>
            <color indexed="81"/>
            <rFont val="Tahoma"/>
            <family val="2"/>
          </rPr>
          <t>YEL-vakuutusmaksut:</t>
        </r>
        <r>
          <rPr>
            <sz val="9"/>
            <color indexed="81"/>
            <rFont val="Tahoma"/>
            <family val="2"/>
          </rPr>
          <t xml:space="preserve">
</t>
        </r>
        <r>
          <rPr>
            <b/>
            <sz val="9"/>
            <color indexed="81"/>
            <rFont val="Tahoma"/>
            <family val="2"/>
          </rPr>
          <t>2026</t>
        </r>
        <r>
          <rPr>
            <sz val="9"/>
            <color indexed="81"/>
            <rFont val="Tahoma"/>
            <family val="2"/>
          </rPr>
          <t xml:space="preserve">
</t>
        </r>
        <r>
          <rPr>
            <b/>
            <sz val="9"/>
            <color indexed="81"/>
            <rFont val="Tahoma"/>
            <family val="2"/>
          </rPr>
          <t>YEL-vakuutusmaksuprosentti 24,40 %.</t>
        </r>
        <r>
          <rPr>
            <sz val="9"/>
            <color indexed="81"/>
            <rFont val="Tahoma"/>
            <family val="2"/>
          </rPr>
          <t xml:space="preserve">
Aloittava yrittäjä saa 22 % alennuksen eläkemaksuista ensimmäiset neljä vuotta, maksuprosentti 19,03 %.</t>
        </r>
      </text>
    </comment>
    <comment ref="G40" authorId="0" shapeId="0" xr:uid="{80164842-81FA-4109-AAC9-1116DCAB0743}">
      <text>
        <r>
          <rPr>
            <b/>
            <sz val="9"/>
            <color indexed="81"/>
            <rFont val="Tahoma"/>
            <family val="2"/>
          </rPr>
          <t>Laaksonen Aki:</t>
        </r>
        <r>
          <rPr>
            <sz val="9"/>
            <color indexed="81"/>
            <rFont val="Tahoma"/>
            <family val="2"/>
          </rPr>
          <t xml:space="preserve">
</t>
        </r>
        <r>
          <rPr>
            <b/>
            <u/>
            <sz val="9"/>
            <color indexed="81"/>
            <rFont val="Tahoma"/>
            <family val="2"/>
          </rPr>
          <t>Työnantajan pakolliset henkilövakuutusmaksut:</t>
        </r>
        <r>
          <rPr>
            <sz val="9"/>
            <color indexed="81"/>
            <rFont val="Tahoma"/>
            <family val="2"/>
          </rPr>
          <t xml:space="preserve">
</t>
        </r>
        <r>
          <rPr>
            <b/>
            <sz val="9"/>
            <color indexed="81"/>
            <rFont val="Tahoma"/>
            <family val="2"/>
          </rPr>
          <t>2026</t>
        </r>
        <r>
          <rPr>
            <sz val="9"/>
            <color indexed="81"/>
            <rFont val="Tahoma"/>
            <family val="2"/>
          </rPr>
          <t xml:space="preserve">
Yritys maksaa:
- sairausvakuutusmaksua 1,91 %
- vakuutusyhtiölle tapaturmavakuutusta 0,51 % (tapaturma-alttiilla aloilla jopa 7,00 %)
- henkivakuutusta 0,06 %
- työttömyysvakuutusta 0,31 %
</t>
        </r>
        <r>
          <rPr>
            <b/>
            <sz val="9"/>
            <color indexed="81"/>
            <rFont val="Tahoma"/>
            <family val="2"/>
          </rPr>
          <t xml:space="preserve">
Yhteensä keskimäärin 2,79 %, korota tapaturma-alttiilla aloilla.</t>
        </r>
      </text>
    </comment>
    <comment ref="G41" authorId="0" shapeId="0" xr:uid="{E2E5BD24-D662-4879-9D60-02C04531FEAD}">
      <text>
        <r>
          <rPr>
            <b/>
            <sz val="9"/>
            <color indexed="81"/>
            <rFont val="Tahoma"/>
            <family val="2"/>
          </rPr>
          <t>Laaksonen Aki:</t>
        </r>
        <r>
          <rPr>
            <sz val="9"/>
            <color indexed="81"/>
            <rFont val="Tahoma"/>
            <family val="2"/>
          </rPr>
          <t xml:space="preserve">
</t>
        </r>
        <r>
          <rPr>
            <b/>
            <u/>
            <sz val="9"/>
            <color indexed="81"/>
            <rFont val="Tahoma"/>
            <family val="2"/>
          </rPr>
          <t>YEL-yrittäjien sosiaalivakuutusmaksut:</t>
        </r>
        <r>
          <rPr>
            <sz val="9"/>
            <color indexed="81"/>
            <rFont val="Tahoma"/>
            <family val="2"/>
          </rPr>
          <t xml:space="preserve">
</t>
        </r>
        <r>
          <rPr>
            <b/>
            <sz val="9"/>
            <color indexed="81"/>
            <rFont val="Tahoma"/>
            <family val="2"/>
          </rPr>
          <t>2026</t>
        </r>
        <r>
          <rPr>
            <sz val="9"/>
            <color indexed="81"/>
            <rFont val="Tahoma"/>
            <family val="2"/>
          </rPr>
          <t xml:space="preserve">
- vapaaehtoinen tapaturma- ja ammattitautivakuutus 1,70 % YEL-työtulosta
- sairausvakuutusmaksu 1,91 % palkkatulosta</t>
        </r>
      </text>
    </comment>
    <comment ref="D43" authorId="0" shapeId="0" xr:uid="{2C6661AD-9321-4BAA-BE75-56C79501DAEF}">
      <text>
        <r>
          <rPr>
            <b/>
            <sz val="9"/>
            <color indexed="81"/>
            <rFont val="Tahoma"/>
            <family val="2"/>
          </rPr>
          <t>Laaksonen Aki:</t>
        </r>
        <r>
          <rPr>
            <sz val="9"/>
            <color indexed="81"/>
            <rFont val="Tahoma"/>
            <family val="2"/>
          </rPr>
          <t xml:space="preserve">
</t>
        </r>
        <r>
          <rPr>
            <b/>
            <u/>
            <sz val="9"/>
            <color indexed="81"/>
            <rFont val="Tahoma"/>
            <family val="2"/>
          </rPr>
          <t xml:space="preserve">
Muut henkilövakuutusmaksut:</t>
        </r>
        <r>
          <rPr>
            <sz val="9"/>
            <color indexed="81"/>
            <rFont val="Tahoma"/>
            <family val="2"/>
          </rPr>
          <t xml:space="preserve">
Henkivakuutusmaksut, sairaskuluvakuutus, matkavakuutus ym.</t>
        </r>
      </text>
    </comment>
    <comment ref="D51" authorId="0" shapeId="0" xr:uid="{35B7826C-FB89-4DA0-90AB-320BFF9E20A2}">
      <text>
        <r>
          <rPr>
            <b/>
            <sz val="9"/>
            <color indexed="81"/>
            <rFont val="Tahoma"/>
            <family val="2"/>
          </rPr>
          <t>Laaksonen Aki:</t>
        </r>
        <r>
          <rPr>
            <sz val="9"/>
            <color indexed="81"/>
            <rFont val="Tahoma"/>
            <family val="2"/>
          </rPr>
          <t xml:space="preserve">
</t>
        </r>
        <r>
          <rPr>
            <b/>
            <u/>
            <sz val="9"/>
            <color indexed="81"/>
            <rFont val="Tahoma"/>
            <family val="2"/>
          </rPr>
          <t>Muut vapaaehtoiset henkilöstökulut:</t>
        </r>
        <r>
          <rPr>
            <sz val="9"/>
            <color indexed="81"/>
            <rFont val="Tahoma"/>
            <family val="2"/>
          </rPr>
          <t xml:space="preserve">
Henkilökunnan ruokailu, lounasetu, henkilöstön hankinta, sisäiset palaverit, lahjat henkilökunnalle ym.</t>
        </r>
      </text>
    </comment>
    <comment ref="E53" authorId="0" shapeId="0" xr:uid="{6B91E3A6-8925-4F30-A494-7B7C88F06E9D}">
      <text>
        <r>
          <rPr>
            <b/>
            <sz val="9"/>
            <color indexed="81"/>
            <rFont val="Tahoma"/>
            <family val="2"/>
          </rPr>
          <t>Laaksonen Aki:</t>
        </r>
        <r>
          <rPr>
            <sz val="9"/>
            <color indexed="81"/>
            <rFont val="Tahoma"/>
            <family val="2"/>
          </rPr>
          <t xml:space="preserve">
</t>
        </r>
        <r>
          <rPr>
            <b/>
            <u/>
            <sz val="9"/>
            <color indexed="81"/>
            <rFont val="Tahoma"/>
            <family val="2"/>
          </rPr>
          <t>Vuokrat ja vastikkeet (liiketoimintaan):</t>
        </r>
        <r>
          <rPr>
            <sz val="9"/>
            <color indexed="81"/>
            <rFont val="Tahoma"/>
            <family val="2"/>
          </rPr>
          <t xml:space="preserve">
Summa kirjoitetaan ilman alv:tä, jos alv voidaan vähentää. Jos alv:tä ei voida vähentää, kirjoitetaan summa verollisena.
Asuntojen vuokraus on aina verotonta ja kirjoitetaan kohtaan 3.21 Vuokrat, vastikkeet, hoitokulut alv 0 %.</t>
        </r>
      </text>
    </comment>
    <comment ref="G53" authorId="0" shapeId="0" xr:uid="{9114A6DE-E1AF-48BB-B534-44019C11EECC}">
      <text>
        <r>
          <rPr>
            <b/>
            <sz val="9"/>
            <color indexed="81"/>
            <rFont val="Tahoma"/>
            <family val="2"/>
          </rPr>
          <t>Laaksonen Aki:</t>
        </r>
        <r>
          <rPr>
            <sz val="9"/>
            <color indexed="81"/>
            <rFont val="Tahoma"/>
            <family val="2"/>
          </rPr>
          <t xml:space="preserve">
</t>
        </r>
        <r>
          <rPr>
            <b/>
            <u/>
            <sz val="9"/>
            <color indexed="81"/>
            <rFont val="Tahoma"/>
            <family val="2"/>
          </rPr>
          <t>Vuokrat ja vastikkeet (liiketoimintaan):</t>
        </r>
        <r>
          <rPr>
            <sz val="9"/>
            <color indexed="81"/>
            <rFont val="Tahoma"/>
            <family val="2"/>
          </rPr>
          <t xml:space="preserve">
Summa kirjoitetaan ilman alv:tä, jos alv voidaan vähentää. Jos alv:tä ei voida vähentää, kirjoitetaan summa verollisena.
Asuntojen vuokraus on aina verotonta ja kirjoitetaan kohtaan 3.21 Vuokrat, vastikkeet, hoitokulut alv 0 %.</t>
        </r>
      </text>
    </comment>
    <comment ref="E61" authorId="0" shapeId="0" xr:uid="{E59979C6-2300-4F4F-B961-0D12776E7EF7}">
      <text>
        <r>
          <rPr>
            <b/>
            <sz val="9"/>
            <color indexed="81"/>
            <rFont val="Tahoma"/>
            <family val="2"/>
          </rPr>
          <t>Laaksonen Aki:</t>
        </r>
        <r>
          <rPr>
            <sz val="9"/>
            <color indexed="81"/>
            <rFont val="Tahoma"/>
            <family val="2"/>
          </rPr>
          <t xml:space="preserve">
</t>
        </r>
        <r>
          <rPr>
            <b/>
            <u/>
            <sz val="9"/>
            <color indexed="81"/>
            <rFont val="Tahoma"/>
            <family val="2"/>
          </rPr>
          <t>Kiinteistövakuutukset:</t>
        </r>
        <r>
          <rPr>
            <sz val="9"/>
            <color indexed="81"/>
            <rFont val="Tahoma"/>
            <family val="2"/>
          </rPr>
          <t xml:space="preserve">
Kiinteistövakuutuksen hinta 0,3 % palovakuutusarvosta.</t>
        </r>
      </text>
    </comment>
    <comment ref="G61" authorId="0" shapeId="0" xr:uid="{CAAD557E-19B9-4AFD-B1A4-DE7A384049DC}">
      <text>
        <r>
          <rPr>
            <b/>
            <sz val="9"/>
            <color indexed="81"/>
            <rFont val="Tahoma"/>
            <family val="2"/>
          </rPr>
          <t>Laaksonen Aki:</t>
        </r>
        <r>
          <rPr>
            <sz val="9"/>
            <color indexed="81"/>
            <rFont val="Tahoma"/>
            <family val="2"/>
          </rPr>
          <t xml:space="preserve">
</t>
        </r>
        <r>
          <rPr>
            <b/>
            <u/>
            <sz val="9"/>
            <color indexed="81"/>
            <rFont val="Tahoma"/>
            <family val="2"/>
          </rPr>
          <t>Kiinteistövakuutukset:</t>
        </r>
        <r>
          <rPr>
            <sz val="9"/>
            <color indexed="81"/>
            <rFont val="Tahoma"/>
            <family val="2"/>
          </rPr>
          <t xml:space="preserve">
Kiinteistövakuutuksen hinta 0,3 % palovakuutusarvosta.</t>
        </r>
      </text>
    </comment>
    <comment ref="D63" authorId="0" shapeId="0" xr:uid="{18E56360-719D-461D-9A79-8E0FB26568AF}">
      <text>
        <r>
          <rPr>
            <b/>
            <sz val="9"/>
            <color indexed="81"/>
            <rFont val="Tahoma"/>
            <family val="2"/>
          </rPr>
          <t>Laaksonen Aki:</t>
        </r>
        <r>
          <rPr>
            <sz val="9"/>
            <color indexed="81"/>
            <rFont val="Tahoma"/>
            <family val="2"/>
          </rPr>
          <t xml:space="preserve">
</t>
        </r>
        <r>
          <rPr>
            <b/>
            <u/>
            <sz val="9"/>
            <color indexed="81"/>
            <rFont val="Tahoma"/>
            <family val="2"/>
          </rPr>
          <t>Ajoneuvokulut, liikekäyttö:</t>
        </r>
        <r>
          <rPr>
            <sz val="9"/>
            <color indexed="81"/>
            <rFont val="Tahoma"/>
            <family val="2"/>
          </rPr>
          <t xml:space="preserve">
Alv 0 % ajoneuvokulut kohtaan 3.18 Ajoneuvo- ja konekulut, yksityiskäyttö.</t>
        </r>
      </text>
    </comment>
    <comment ref="G64" authorId="0" shapeId="0" xr:uid="{4E30C9C9-A124-448D-B729-9FF1AD5787B8}">
      <text>
        <r>
          <rPr>
            <b/>
            <sz val="9"/>
            <color indexed="81"/>
            <rFont val="Tahoma"/>
            <family val="2"/>
          </rPr>
          <t>Laaksonen Aki:</t>
        </r>
        <r>
          <rPr>
            <sz val="9"/>
            <color indexed="81"/>
            <rFont val="Tahoma"/>
            <family val="2"/>
          </rPr>
          <t xml:space="preserve">
</t>
        </r>
        <r>
          <rPr>
            <b/>
            <u/>
            <sz val="9"/>
            <color indexed="81"/>
            <rFont val="Tahoma"/>
            <family val="2"/>
          </rPr>
          <t>Leasing- ja vuokrakulut:</t>
        </r>
        <r>
          <rPr>
            <sz val="9"/>
            <color indexed="81"/>
            <rFont val="Tahoma"/>
            <family val="2"/>
          </rPr>
          <t xml:space="preserve">
Ei liiketoimintakäytön leasingkulut kohtaan 3.19 Leasingkulut alv 0 % (yksityiskäyttö). 
Kirjoita maksuohjelma koko suunnitelmakaudelle huomioiden sopimuskauden pituus.</t>
        </r>
      </text>
    </comment>
    <comment ref="I64" authorId="0" shapeId="0" xr:uid="{CF602D08-8A4A-4AE1-AB09-50FED7E10B6A}">
      <text>
        <r>
          <rPr>
            <b/>
            <sz val="9"/>
            <color indexed="81"/>
            <rFont val="Tahoma"/>
            <family val="2"/>
          </rPr>
          <t>Laaksonen Aki:</t>
        </r>
        <r>
          <rPr>
            <sz val="9"/>
            <color indexed="81"/>
            <rFont val="Tahoma"/>
            <family val="2"/>
          </rPr>
          <t xml:space="preserve">
</t>
        </r>
        <r>
          <rPr>
            <b/>
            <u/>
            <sz val="9"/>
            <color indexed="81"/>
            <rFont val="Tahoma"/>
            <family val="2"/>
          </rPr>
          <t>Leasing- ja vuokrakulut:</t>
        </r>
        <r>
          <rPr>
            <sz val="9"/>
            <color indexed="81"/>
            <rFont val="Tahoma"/>
            <family val="2"/>
          </rPr>
          <t xml:space="preserve">
Kirjoita maksuohjelma koko suunnitelmakaudelle huomioiden sopimuskauden pituus.</t>
        </r>
      </text>
    </comment>
    <comment ref="K64" authorId="0" shapeId="0" xr:uid="{2F74EF96-F881-4317-A931-3ED02352F887}">
      <text>
        <r>
          <rPr>
            <b/>
            <sz val="9"/>
            <color indexed="81"/>
            <rFont val="Tahoma"/>
            <family val="2"/>
          </rPr>
          <t>Laaksonen Aki:</t>
        </r>
        <r>
          <rPr>
            <sz val="9"/>
            <color indexed="81"/>
            <rFont val="Tahoma"/>
            <family val="2"/>
          </rPr>
          <t xml:space="preserve">
</t>
        </r>
        <r>
          <rPr>
            <b/>
            <u/>
            <sz val="9"/>
            <color indexed="81"/>
            <rFont val="Tahoma"/>
            <family val="2"/>
          </rPr>
          <t xml:space="preserve">
Leasing- ja vuokrakulut:</t>
        </r>
        <r>
          <rPr>
            <sz val="9"/>
            <color indexed="81"/>
            <rFont val="Tahoma"/>
            <family val="2"/>
          </rPr>
          <t xml:space="preserve">
Kirjoita maksuohjelma koko suunnitelmakaudelle huomioiden sopimuskauden pituus.</t>
        </r>
      </text>
    </comment>
    <comment ref="M64" authorId="0" shapeId="0" xr:uid="{5A02CBB3-7B91-487C-A99E-99EB28A73191}">
      <text>
        <r>
          <rPr>
            <b/>
            <sz val="9"/>
            <color indexed="81"/>
            <rFont val="Tahoma"/>
            <family val="2"/>
          </rPr>
          <t>Laaksonen Aki:</t>
        </r>
        <r>
          <rPr>
            <sz val="9"/>
            <color indexed="81"/>
            <rFont val="Tahoma"/>
            <family val="2"/>
          </rPr>
          <t xml:space="preserve">
</t>
        </r>
        <r>
          <rPr>
            <b/>
            <u/>
            <sz val="9"/>
            <color indexed="81"/>
            <rFont val="Tahoma"/>
            <family val="2"/>
          </rPr>
          <t>Leasing- ja vuokrakulut:</t>
        </r>
        <r>
          <rPr>
            <sz val="9"/>
            <color indexed="81"/>
            <rFont val="Tahoma"/>
            <family val="2"/>
          </rPr>
          <t xml:space="preserve">
Kirjoita maksuohjelma koko suunnitelmakaudelle huomioiden sopimuskauden pituus.</t>
        </r>
      </text>
    </comment>
    <comment ref="G70" authorId="0" shapeId="0" xr:uid="{95CCC64C-5A71-4F56-8538-E4156B53A1CC}">
      <text>
        <r>
          <rPr>
            <b/>
            <sz val="9"/>
            <color indexed="81"/>
            <rFont val="Tahoma"/>
            <family val="2"/>
          </rPr>
          <t>Laaksonen Aki:</t>
        </r>
        <r>
          <rPr>
            <sz val="9"/>
            <color indexed="81"/>
            <rFont val="Tahoma"/>
            <family val="2"/>
          </rPr>
          <t xml:space="preserve">
</t>
        </r>
        <r>
          <rPr>
            <b/>
            <u/>
            <sz val="9"/>
            <color indexed="81"/>
            <rFont val="Tahoma"/>
            <family val="2"/>
          </rPr>
          <t>Laite- ja ohjelmavuokrat ja leasingit:</t>
        </r>
        <r>
          <rPr>
            <sz val="9"/>
            <color indexed="81"/>
            <rFont val="Tahoma"/>
            <family val="2"/>
          </rPr>
          <t xml:space="preserve">
Kirjoita maksuohjelma koko suunnitelmakaudelle huomioiden sopimuskauden pituus.</t>
        </r>
      </text>
    </comment>
    <comment ref="I70" authorId="0" shapeId="0" xr:uid="{CD9BBBA5-28DF-453D-9037-E5C81D88A184}">
      <text>
        <r>
          <rPr>
            <b/>
            <sz val="9"/>
            <color indexed="81"/>
            <rFont val="Tahoma"/>
            <family val="2"/>
          </rPr>
          <t>Laaksonen Aki:</t>
        </r>
        <r>
          <rPr>
            <sz val="9"/>
            <color indexed="81"/>
            <rFont val="Tahoma"/>
            <family val="2"/>
          </rPr>
          <t xml:space="preserve">
</t>
        </r>
        <r>
          <rPr>
            <b/>
            <u/>
            <sz val="9"/>
            <color indexed="81"/>
            <rFont val="Tahoma"/>
            <family val="2"/>
          </rPr>
          <t>Laite- ja ohjelmavuokrat ja leasingit:</t>
        </r>
        <r>
          <rPr>
            <sz val="9"/>
            <color indexed="81"/>
            <rFont val="Tahoma"/>
            <family val="2"/>
          </rPr>
          <t xml:space="preserve">
Kirjoita maksuohjelma koko suunnitelmakaudelle huomioiden sopimuskauden pituus.</t>
        </r>
      </text>
    </comment>
    <comment ref="K70" authorId="0" shapeId="0" xr:uid="{F74F2AA5-B2D8-47E4-BA9D-B0CC2D9923DE}">
      <text>
        <r>
          <rPr>
            <b/>
            <sz val="9"/>
            <color indexed="81"/>
            <rFont val="Tahoma"/>
            <family val="2"/>
          </rPr>
          <t>Laaksonen Aki:</t>
        </r>
        <r>
          <rPr>
            <sz val="9"/>
            <color indexed="81"/>
            <rFont val="Tahoma"/>
            <family val="2"/>
          </rPr>
          <t xml:space="preserve">
</t>
        </r>
        <r>
          <rPr>
            <b/>
            <u/>
            <sz val="9"/>
            <color indexed="81"/>
            <rFont val="Tahoma"/>
            <family val="2"/>
          </rPr>
          <t xml:space="preserve">
Laite- ja ohjelmavuokrat ja leasingit:</t>
        </r>
        <r>
          <rPr>
            <sz val="9"/>
            <color indexed="81"/>
            <rFont val="Tahoma"/>
            <family val="2"/>
          </rPr>
          <t xml:space="preserve">
Kirjoita maksuohjelma koko suunnitelmakaudelle huomioiden sopimuskauden pituus.</t>
        </r>
      </text>
    </comment>
    <comment ref="M70" authorId="0" shapeId="0" xr:uid="{C17A3CB1-29F0-4928-AD32-755DF95AD93C}">
      <text>
        <r>
          <rPr>
            <b/>
            <sz val="9"/>
            <color indexed="81"/>
            <rFont val="Tahoma"/>
            <family val="2"/>
          </rPr>
          <t>Laaksonen Aki:</t>
        </r>
        <r>
          <rPr>
            <sz val="9"/>
            <color indexed="81"/>
            <rFont val="Tahoma"/>
            <family val="2"/>
          </rPr>
          <t xml:space="preserve">
</t>
        </r>
        <r>
          <rPr>
            <b/>
            <u/>
            <sz val="9"/>
            <color indexed="81"/>
            <rFont val="Tahoma"/>
            <family val="2"/>
          </rPr>
          <t>Laite- ja ohjelmavuokrat ja leasingit:</t>
        </r>
        <r>
          <rPr>
            <sz val="9"/>
            <color indexed="81"/>
            <rFont val="Tahoma"/>
            <family val="2"/>
          </rPr>
          <t xml:space="preserve">
Kirjoita maksuohjelma koko suunnitelmakaudelle huomioiden sopimuskauden pituus.</t>
        </r>
      </text>
    </comment>
    <comment ref="G72" authorId="0" shapeId="0" xr:uid="{02DACC7A-6733-4BAA-B563-901ED0E3DF93}">
      <text>
        <r>
          <rPr>
            <b/>
            <sz val="9"/>
            <color indexed="81"/>
            <rFont val="Tahoma"/>
            <family val="2"/>
          </rPr>
          <t>Laaksonen Aki:</t>
        </r>
        <r>
          <rPr>
            <sz val="9"/>
            <color indexed="81"/>
            <rFont val="Tahoma"/>
            <family val="2"/>
          </rPr>
          <t xml:space="preserve">
</t>
        </r>
        <r>
          <rPr>
            <b/>
            <u/>
            <sz val="9"/>
            <color indexed="81"/>
            <rFont val="Tahoma"/>
            <family val="2"/>
          </rPr>
          <t>Atk-laitehankinnat käyttöikä alle 3 vuotta:</t>
        </r>
        <r>
          <rPr>
            <sz val="9"/>
            <color indexed="81"/>
            <rFont val="Tahoma"/>
            <family val="2"/>
          </rPr>
          <t xml:space="preserve">
Kaikki tavanomaiset Atk-laitteet kuuluvat tähän ryhmään.</t>
        </r>
      </text>
    </comment>
    <comment ref="D74" authorId="0" shapeId="0" xr:uid="{89944A74-C218-4290-BF13-D5EACF15EFBC}">
      <text>
        <r>
          <rPr>
            <b/>
            <sz val="9"/>
            <color indexed="81"/>
            <rFont val="Tahoma"/>
            <family val="2"/>
          </rPr>
          <t>Laaksonen Aki:</t>
        </r>
        <r>
          <rPr>
            <sz val="9"/>
            <color indexed="81"/>
            <rFont val="Tahoma"/>
            <family val="2"/>
          </rPr>
          <t xml:space="preserve">
</t>
        </r>
        <r>
          <rPr>
            <b/>
            <u/>
            <sz val="9"/>
            <color indexed="81"/>
            <rFont val="Tahoma"/>
            <family val="2"/>
          </rPr>
          <t>Muut kone- ja kalustovuokrat, liikekäyttö:</t>
        </r>
        <r>
          <rPr>
            <sz val="9"/>
            <color indexed="81"/>
            <rFont val="Tahoma"/>
            <family val="2"/>
          </rPr>
          <t xml:space="preserve">
Ei liikekäyttö- koneiden kulut kohtaan 3.18 Ajoneuvo- ja konekulut, yksityiskäyttö tai 3.19 Leasingkulut alv 0 % (yksityiskäyttö).</t>
        </r>
      </text>
    </comment>
    <comment ref="G75" authorId="0" shapeId="0" xr:uid="{8C1ECAC1-C81A-43FC-AB80-E384AB193DE5}">
      <text>
        <r>
          <rPr>
            <b/>
            <sz val="9"/>
            <color indexed="81"/>
            <rFont val="Tahoma"/>
            <family val="2"/>
          </rPr>
          <t>Laaksonen Aki:</t>
        </r>
        <r>
          <rPr>
            <sz val="9"/>
            <color indexed="81"/>
            <rFont val="Tahoma"/>
            <family val="2"/>
          </rPr>
          <t xml:space="preserve">
</t>
        </r>
        <r>
          <rPr>
            <b/>
            <u/>
            <sz val="9"/>
            <color indexed="81"/>
            <rFont val="Tahoma"/>
            <family val="2"/>
          </rPr>
          <t>Laite- ja kalustovuokrat, leasingvuokrat:</t>
        </r>
        <r>
          <rPr>
            <sz val="9"/>
            <color indexed="81"/>
            <rFont val="Tahoma"/>
            <family val="2"/>
          </rPr>
          <t xml:space="preserve">
Ei liiketoimintakäytön leasingkulut kohtaan 3.19 Leasingkulut alv 0 % (yksityiskäyttö). 
Kirjoita maksuohjelma koko suunnitelmakaudelle huomioiden sopimuskauden pituus.</t>
        </r>
      </text>
    </comment>
    <comment ref="I75" authorId="0" shapeId="0" xr:uid="{1FFE1DEF-4A6D-46FB-97A9-9572A498663B}">
      <text>
        <r>
          <rPr>
            <b/>
            <sz val="9"/>
            <color indexed="81"/>
            <rFont val="Tahoma"/>
            <family val="2"/>
          </rPr>
          <t>Laaksonen Aki:</t>
        </r>
        <r>
          <rPr>
            <sz val="9"/>
            <color indexed="81"/>
            <rFont val="Tahoma"/>
            <family val="2"/>
          </rPr>
          <t xml:space="preserve">
</t>
        </r>
        <r>
          <rPr>
            <b/>
            <u/>
            <sz val="9"/>
            <color indexed="81"/>
            <rFont val="Tahoma"/>
            <family val="2"/>
          </rPr>
          <t>Laite- ja kalustovuokrat, leasingvuokrat:</t>
        </r>
        <r>
          <rPr>
            <sz val="9"/>
            <color indexed="81"/>
            <rFont val="Tahoma"/>
            <family val="2"/>
          </rPr>
          <t xml:space="preserve">
Kirjoita maksuohjelma koko suunnitelmakaudelle huomioiden sopimuskauden pituus.</t>
        </r>
      </text>
    </comment>
    <comment ref="K75" authorId="0" shapeId="0" xr:uid="{FBA2A484-7A26-41A2-82F2-91A0E0C6B5F6}">
      <text>
        <r>
          <rPr>
            <b/>
            <sz val="9"/>
            <color indexed="81"/>
            <rFont val="Tahoma"/>
            <family val="2"/>
          </rPr>
          <t>Laaksonen Aki:</t>
        </r>
        <r>
          <rPr>
            <sz val="9"/>
            <color indexed="81"/>
            <rFont val="Tahoma"/>
            <family val="2"/>
          </rPr>
          <t xml:space="preserve">
</t>
        </r>
        <r>
          <rPr>
            <b/>
            <u/>
            <sz val="9"/>
            <color indexed="81"/>
            <rFont val="Tahoma"/>
            <family val="2"/>
          </rPr>
          <t xml:space="preserve">
Laite- ja kalustovuokrat, leasingvuokrat:</t>
        </r>
        <r>
          <rPr>
            <sz val="9"/>
            <color indexed="81"/>
            <rFont val="Tahoma"/>
            <family val="2"/>
          </rPr>
          <t xml:space="preserve">
Kirjoita maksuohjelma koko suunnitelmakaudelle huomioiden sopimuskauden pituus.</t>
        </r>
      </text>
    </comment>
    <comment ref="M75" authorId="0" shapeId="0" xr:uid="{26247E37-F05D-42DA-9719-24436DD91DBB}">
      <text>
        <r>
          <rPr>
            <b/>
            <sz val="9"/>
            <color indexed="81"/>
            <rFont val="Tahoma"/>
            <family val="2"/>
          </rPr>
          <t>Laaksonen Aki:</t>
        </r>
        <r>
          <rPr>
            <sz val="9"/>
            <color indexed="81"/>
            <rFont val="Tahoma"/>
            <family val="2"/>
          </rPr>
          <t xml:space="preserve">
</t>
        </r>
        <r>
          <rPr>
            <b/>
            <u/>
            <sz val="9"/>
            <color indexed="81"/>
            <rFont val="Tahoma"/>
            <family val="2"/>
          </rPr>
          <t>Laite- ja kalustovuokrat, leasingvuokrat:</t>
        </r>
        <r>
          <rPr>
            <sz val="9"/>
            <color indexed="81"/>
            <rFont val="Tahoma"/>
            <family val="2"/>
          </rPr>
          <t xml:space="preserve">
Kirjoita maksuohjelma koko suunnitelmakaudelle huomioiden sopimuskauden pituus.</t>
        </r>
      </text>
    </comment>
    <comment ref="E86" authorId="0" shapeId="0" xr:uid="{72051519-703B-45CC-9EB7-B6B5DA9598E7}">
      <text>
        <r>
          <rPr>
            <b/>
            <sz val="9"/>
            <color indexed="81"/>
            <rFont val="Tahoma"/>
            <family val="2"/>
          </rPr>
          <t>Laaksonen Aki:</t>
        </r>
        <r>
          <rPr>
            <sz val="9"/>
            <color indexed="81"/>
            <rFont val="Tahoma"/>
            <family val="2"/>
          </rPr>
          <t xml:space="preserve">
</t>
        </r>
        <r>
          <rPr>
            <b/>
            <u/>
            <sz val="9"/>
            <color indexed="81"/>
            <rFont val="Tahoma"/>
            <family val="2"/>
          </rPr>
          <t>Edustuskulut:</t>
        </r>
        <r>
          <rPr>
            <sz val="9"/>
            <color indexed="81"/>
            <rFont val="Tahoma"/>
            <family val="2"/>
          </rPr>
          <t xml:space="preserve">
Edustuskuluista 50 % vähennetään tuloverotuksessa, ei arvonlisäverotuksessa.</t>
        </r>
      </text>
    </comment>
    <comment ref="G86" authorId="0" shapeId="0" xr:uid="{EBB25F3D-E655-4398-A7CB-3CEA30418FD9}">
      <text>
        <r>
          <rPr>
            <b/>
            <sz val="9"/>
            <color indexed="81"/>
            <rFont val="Tahoma"/>
            <family val="2"/>
          </rPr>
          <t>Laaksonen Aki:</t>
        </r>
        <r>
          <rPr>
            <sz val="9"/>
            <color indexed="81"/>
            <rFont val="Tahoma"/>
            <family val="2"/>
          </rPr>
          <t xml:space="preserve">
</t>
        </r>
        <r>
          <rPr>
            <b/>
            <u/>
            <sz val="9"/>
            <color indexed="81"/>
            <rFont val="Tahoma"/>
            <family val="2"/>
          </rPr>
          <t>Edustuskulut:</t>
        </r>
        <r>
          <rPr>
            <sz val="9"/>
            <color indexed="81"/>
            <rFont val="Tahoma"/>
            <family val="2"/>
          </rPr>
          <t xml:space="preserve">
Edustuskuluista 50 % vähennetään tuloverotuksessa, ei arvonlisäverotuksessa.</t>
        </r>
      </text>
    </comment>
    <comment ref="E100" authorId="0" shapeId="0" xr:uid="{90DBE4BF-9A0A-46DF-B5F6-5F270269562B}">
      <text>
        <r>
          <rPr>
            <b/>
            <sz val="9"/>
            <color indexed="81"/>
            <rFont val="Tahoma"/>
            <family val="2"/>
          </rPr>
          <t>Laaksonen Aki:</t>
        </r>
        <r>
          <rPr>
            <sz val="9"/>
            <color indexed="81"/>
            <rFont val="Tahoma"/>
            <family val="2"/>
          </rPr>
          <t xml:space="preserve">
</t>
        </r>
        <r>
          <rPr>
            <b/>
            <u/>
            <sz val="9"/>
            <color indexed="81"/>
            <rFont val="Tahoma"/>
            <family val="2"/>
          </rPr>
          <t>Vuokratyövoima:</t>
        </r>
        <r>
          <rPr>
            <sz val="9"/>
            <color indexed="81"/>
            <rFont val="Tahoma"/>
            <family val="2"/>
          </rPr>
          <t xml:space="preserve">
Tuotannon vuokratyövoima taulukkoon 2 TULOSSUUNNITELMA, kohta 6. Ulkopuoliset palvelut.</t>
        </r>
      </text>
    </comment>
    <comment ref="E118" authorId="0" shapeId="0" xr:uid="{4F2CB24B-6A99-4850-BC23-D969FD2ED4BE}">
      <text>
        <r>
          <rPr>
            <b/>
            <sz val="9"/>
            <color indexed="81"/>
            <rFont val="Tahoma"/>
            <family val="2"/>
          </rPr>
          <t>Laaksonen Aki:</t>
        </r>
        <r>
          <rPr>
            <sz val="9"/>
            <color indexed="81"/>
            <rFont val="Tahoma"/>
            <family val="2"/>
          </rPr>
          <t xml:space="preserve">
</t>
        </r>
        <r>
          <rPr>
            <b/>
            <u/>
            <sz val="9"/>
            <color indexed="81"/>
            <rFont val="Tahoma"/>
            <family val="2"/>
          </rPr>
          <t>Kokous- ja neuvottelukulut:</t>
        </r>
        <r>
          <rPr>
            <sz val="9"/>
            <color indexed="81"/>
            <rFont val="Tahoma"/>
            <family val="2"/>
          </rPr>
          <t xml:space="preserve">
Eivät ole edustuskuluja. Voidaan vähentää verotuksessa.</t>
        </r>
      </text>
    </comment>
    <comment ref="G118" authorId="0" shapeId="0" xr:uid="{29549D58-9FC5-402E-ABA2-995C72D49A76}">
      <text>
        <r>
          <rPr>
            <b/>
            <sz val="9"/>
            <color indexed="81"/>
            <rFont val="Tahoma"/>
            <family val="2"/>
          </rPr>
          <t>Laaksonen Aki:</t>
        </r>
        <r>
          <rPr>
            <sz val="9"/>
            <color indexed="81"/>
            <rFont val="Tahoma"/>
            <family val="2"/>
          </rPr>
          <t xml:space="preserve">
</t>
        </r>
        <r>
          <rPr>
            <b/>
            <u/>
            <sz val="9"/>
            <color indexed="81"/>
            <rFont val="Tahoma"/>
            <family val="2"/>
          </rPr>
          <t>Kokous- ja neuvottelukulut:</t>
        </r>
        <r>
          <rPr>
            <sz val="9"/>
            <color indexed="81"/>
            <rFont val="Tahoma"/>
            <family val="2"/>
          </rPr>
          <t xml:space="preserve">
Eivät ole edustuskuluja. Voidaan vähentää verotuksessa.</t>
        </r>
      </text>
    </comment>
    <comment ref="E119" authorId="0" shapeId="0" xr:uid="{677E02A2-F959-4AEE-8B58-9C5945D9A15D}">
      <text>
        <r>
          <rPr>
            <b/>
            <sz val="9"/>
            <color indexed="81"/>
            <rFont val="Tahoma"/>
            <family val="2"/>
          </rPr>
          <t>Laaksonen Aki:</t>
        </r>
        <r>
          <rPr>
            <sz val="9"/>
            <color indexed="81"/>
            <rFont val="Tahoma"/>
            <family val="2"/>
          </rPr>
          <t xml:space="preserve">
</t>
        </r>
        <r>
          <rPr>
            <b/>
            <u/>
            <sz val="9"/>
            <color indexed="81"/>
            <rFont val="Tahoma"/>
            <family val="2"/>
          </rPr>
          <t>Ajoneuvo- ja konekulut, yksityiskäyttö:</t>
        </r>
        <r>
          <rPr>
            <sz val="9"/>
            <color indexed="81"/>
            <rFont val="Tahoma"/>
            <family val="2"/>
          </rPr>
          <t xml:space="preserve">
Tarkoittaa ei liiketoiminnan käytön (esim. työsuhdeauto) koneiden ja laitteiden kustannuksia.
Näistä kuluista ei voida vähentää arvonlisäveroa.</t>
        </r>
      </text>
    </comment>
    <comment ref="G119" authorId="0" shapeId="0" xr:uid="{58A3ED6F-C311-4F73-AB16-8449F7ACA09E}">
      <text>
        <r>
          <rPr>
            <b/>
            <sz val="9"/>
            <color indexed="81"/>
            <rFont val="Tahoma"/>
            <family val="2"/>
          </rPr>
          <t>Laaksonen Aki:</t>
        </r>
        <r>
          <rPr>
            <sz val="9"/>
            <color indexed="81"/>
            <rFont val="Tahoma"/>
            <family val="2"/>
          </rPr>
          <t xml:space="preserve">
</t>
        </r>
        <r>
          <rPr>
            <b/>
            <u/>
            <sz val="9"/>
            <color indexed="81"/>
            <rFont val="Tahoma"/>
            <family val="2"/>
          </rPr>
          <t>Ajoneuvo- ja konekulut, yksityiskäyttö:</t>
        </r>
        <r>
          <rPr>
            <sz val="9"/>
            <color indexed="81"/>
            <rFont val="Tahoma"/>
            <family val="2"/>
          </rPr>
          <t xml:space="preserve">
Tarkoittaa ei liiketoiminnan käytön (esim. työsuhdeauto) koneiden ja laitteiden kustannuksia.
Näistä kuluista ei voida vähentää arvonlisäveroa.</t>
        </r>
      </text>
    </comment>
    <comment ref="D120" authorId="0" shapeId="0" xr:uid="{7735C7E2-A0CA-4E9E-8AAF-6191C1F75E5F}">
      <text>
        <r>
          <rPr>
            <b/>
            <sz val="9"/>
            <color indexed="81"/>
            <rFont val="Tahoma"/>
            <family val="2"/>
          </rPr>
          <t>Laaksonen Aki:</t>
        </r>
        <r>
          <rPr>
            <sz val="9"/>
            <color indexed="81"/>
            <rFont val="Tahoma"/>
            <family val="2"/>
          </rPr>
          <t xml:space="preserve">
</t>
        </r>
        <r>
          <rPr>
            <b/>
            <u/>
            <sz val="9"/>
            <color indexed="81"/>
            <rFont val="Tahoma"/>
            <family val="2"/>
          </rPr>
          <t>Leasingkulut alv 0 % (yksityiskäyttö):</t>
        </r>
        <r>
          <rPr>
            <sz val="9"/>
            <color indexed="81"/>
            <rFont val="Tahoma"/>
            <family val="2"/>
          </rPr>
          <t xml:space="preserve">
Leasingrahoituksella hankittavien ajoneuvojen ja koneiden vuosikustannus, jotka eivät ole liiketoiminnan käytössä.
Kuluista ei voida vähentää arvonlisäveroa.</t>
        </r>
      </text>
    </comment>
    <comment ref="E121" authorId="0" shapeId="0" xr:uid="{3EA1CB21-00B7-47B2-8168-375DFA2D2CBE}">
      <text>
        <r>
          <rPr>
            <b/>
            <sz val="9"/>
            <color indexed="81"/>
            <rFont val="Tahoma"/>
            <family val="2"/>
          </rPr>
          <t>Laaksonen Aki:</t>
        </r>
        <r>
          <rPr>
            <sz val="9"/>
            <color indexed="81"/>
            <rFont val="Tahoma"/>
            <family val="2"/>
          </rPr>
          <t xml:space="preserve">
</t>
        </r>
        <r>
          <rPr>
            <b/>
            <u/>
            <sz val="9"/>
            <color indexed="81"/>
            <rFont val="Tahoma"/>
            <family val="2"/>
          </rPr>
          <t>Ulkopuoliset palvelut sis. alv:</t>
        </r>
        <r>
          <rPr>
            <sz val="9"/>
            <color indexed="81"/>
            <rFont val="Tahoma"/>
            <family val="2"/>
          </rPr>
          <t xml:space="preserve">
Ulkopuoliset palvelut, jotka eivät liity varsinaiseen liiketoimintaan.</t>
        </r>
      </text>
    </comment>
    <comment ref="G121" authorId="0" shapeId="0" xr:uid="{799B9139-9AF5-4C88-B56C-FFA80EF8B30F}">
      <text>
        <r>
          <rPr>
            <b/>
            <sz val="9"/>
            <color indexed="81"/>
            <rFont val="Tahoma"/>
            <family val="2"/>
          </rPr>
          <t>Laaksonen Aki:</t>
        </r>
        <r>
          <rPr>
            <sz val="9"/>
            <color indexed="81"/>
            <rFont val="Tahoma"/>
            <family val="2"/>
          </rPr>
          <t xml:space="preserve">
</t>
        </r>
        <r>
          <rPr>
            <b/>
            <u/>
            <sz val="9"/>
            <color indexed="81"/>
            <rFont val="Tahoma"/>
            <family val="2"/>
          </rPr>
          <t>Ulkopuoliset palvelut sis. alv:</t>
        </r>
        <r>
          <rPr>
            <sz val="9"/>
            <color indexed="81"/>
            <rFont val="Tahoma"/>
            <family val="2"/>
          </rPr>
          <t xml:space="preserve">
Ulkopuoliset palvelut, jotka eivät liity varsinaiseen liiketoimintaan.</t>
        </r>
      </text>
    </comment>
    <comment ref="E122" authorId="0" shapeId="0" xr:uid="{32642559-E048-4A1C-B28F-E0D96CF21100}">
      <text>
        <r>
          <rPr>
            <b/>
            <sz val="9"/>
            <color indexed="81"/>
            <rFont val="Tahoma"/>
            <family val="2"/>
          </rPr>
          <t>Laaksonen Aki:</t>
        </r>
        <r>
          <rPr>
            <sz val="9"/>
            <color indexed="81"/>
            <rFont val="Tahoma"/>
            <family val="2"/>
          </rPr>
          <t xml:space="preserve">
</t>
        </r>
        <r>
          <rPr>
            <b/>
            <u/>
            <sz val="9"/>
            <color indexed="81"/>
            <rFont val="Tahoma"/>
            <family val="2"/>
          </rPr>
          <t>Vuokrat, vastikkeet, korjauskulut alv 0 %:</t>
        </r>
        <r>
          <rPr>
            <sz val="9"/>
            <color indexed="81"/>
            <rFont val="Tahoma"/>
            <family val="2"/>
          </rPr>
          <t xml:space="preserve">
Asuntojen vuokraus on aina verotonta.
Asuntojen vuokraukseen liittyvät kaikki kulut (esim. sähkö, korjaus) ovat alv-vähennyskelvottomia ja kirjoitetaan sis. alv.</t>
        </r>
      </text>
    </comment>
    <comment ref="G122" authorId="0" shapeId="0" xr:uid="{5B781CC5-F69E-466D-8796-18A135DB9EE2}">
      <text>
        <r>
          <rPr>
            <b/>
            <sz val="9"/>
            <color indexed="81"/>
            <rFont val="Tahoma"/>
            <family val="2"/>
          </rPr>
          <t>Laaksonen Aki:</t>
        </r>
        <r>
          <rPr>
            <sz val="9"/>
            <color indexed="81"/>
            <rFont val="Tahoma"/>
            <family val="2"/>
          </rPr>
          <t xml:space="preserve">
</t>
        </r>
        <r>
          <rPr>
            <b/>
            <u/>
            <sz val="9"/>
            <color indexed="81"/>
            <rFont val="Tahoma"/>
            <family val="2"/>
          </rPr>
          <t>Vuokrat, vastikkeet, korjauskulut alv 0 %:</t>
        </r>
        <r>
          <rPr>
            <sz val="9"/>
            <color indexed="81"/>
            <rFont val="Tahoma"/>
            <family val="2"/>
          </rPr>
          <t xml:space="preserve">
Alv 0 %-toimitilavuokrat/hoitovastikkeet ja korjauskulut kirjoitetaan sis. alv.
Muut kulut, esim. sähkö, kirjoitetaan kohtaan 3.2 Toimitilakustannukset.
Asuntojen vuokraukseen liittyvät kaikki kulut (esim. sähkö) ovat alv-vähennyskelvottomia ja kirjoitetaan sis. alv.</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55E9ADB3-CA44-40A7-AD5A-692DDFFDE8F2}">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Laske toteutuneen tilikauden avulla tuotteen yksikköhinta, ellei ole tiedossa.
Toteutuneen tilikauden tiedot muissa taulukoissa eivät muutu!
Valitse alv-% tuotekohtaisesti!
Huomioi tilikauden pituus!</t>
        </r>
        <r>
          <rPr>
            <b/>
            <sz val="9"/>
            <color indexed="81"/>
            <rFont val="Tahoma"/>
            <family val="2"/>
          </rPr>
          <t xml:space="preserve">
AINEKÄYTTÖ/HANKINNAT MERKITÄÄN +MERKKISINÄ!</t>
        </r>
      </text>
    </comment>
    <comment ref="G9" authorId="0" shapeId="0" xr:uid="{EC2FD632-CB65-4846-8C5D-FA0AA5C85236}">
      <text>
        <r>
          <rPr>
            <b/>
            <sz val="9"/>
            <color indexed="81"/>
            <rFont val="Tahoma"/>
            <family val="2"/>
          </rPr>
          <t>Laaksonen Aki:</t>
        </r>
        <r>
          <rPr>
            <sz val="9"/>
            <color indexed="81"/>
            <rFont val="Tahoma"/>
            <family val="2"/>
          </rPr>
          <t xml:space="preserve">
</t>
        </r>
        <r>
          <rPr>
            <b/>
            <u/>
            <sz val="9"/>
            <color indexed="81"/>
            <rFont val="Tahoma"/>
            <family val="2"/>
          </rPr>
          <t>Tilikauden pituus:</t>
        </r>
        <r>
          <rPr>
            <sz val="9"/>
            <color indexed="81"/>
            <rFont val="Tahoma"/>
            <family val="2"/>
          </rPr>
          <t xml:space="preserve">
Normaali tilikauden pituus on 12 kk. Toimivan yrityksen tilikauden pituus voi olla poikkeuksellisesti 6 - 18 kk.
</t>
        </r>
        <r>
          <rPr>
            <b/>
            <sz val="9"/>
            <color indexed="81"/>
            <rFont val="Tahoma"/>
            <family val="2"/>
          </rPr>
          <t>Jos tilikauden pituus on muu kuin 12 kk, laske tilikauden liikevaihto vastaamaan tilikauden pituutta.
Huomioi tulevat tilikaudet!</t>
        </r>
      </text>
    </comment>
    <comment ref="G16" authorId="0" shapeId="0" xr:uid="{8079440F-BB33-4B32-8BDF-A0598564DAAA}">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17" authorId="0" shapeId="0" xr:uid="{618D262D-F901-4E7F-BCED-644410EAC5E8}">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17" authorId="0" shapeId="0" xr:uid="{3F9C7ED2-C501-4934-8D1B-82E4C8359F09}">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17" authorId="0" shapeId="0" xr:uid="{411E5BF8-8D6D-4736-BEEA-91D6A70FDF60}">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18" authorId="0" shapeId="0" xr:uid="{F5796C03-9E8B-472C-8776-066763600FE5}">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18" authorId="0" shapeId="0" xr:uid="{274C96F8-E3AA-4845-A713-1604973417B7}">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20" authorId="0" shapeId="0" xr:uid="{5BD38A13-BE3F-42C2-A13A-00312A380152}">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21" authorId="0" shapeId="0" xr:uid="{1C95310C-6863-43C5-9D85-9090BD1070C3}">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21" authorId="0" shapeId="0" xr:uid="{495E6673-8AC7-48BC-8654-29E7E3126A27}">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23" authorId="0" shapeId="0" xr:uid="{06D6B0B5-B0D3-4393-A972-5BDA1D31A698}">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24" authorId="0" shapeId="0" xr:uid="{99FFA479-1F7E-4891-83DF-1818855EF1FC}">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24" authorId="0" shapeId="0" xr:uid="{735B6E89-F927-4DC2-B17C-5A7C1F096305}">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24" authorId="0" shapeId="0" xr:uid="{84D8FEDB-477E-4796-B037-B77206A94655}">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25" authorId="0" shapeId="0" xr:uid="{EC350B84-79BA-4756-BBC1-939FE3D97D94}">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25" authorId="0" shapeId="0" xr:uid="{8BF74E30-1BFF-4376-AEEA-C3C02AD1F58A}">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27" authorId="0" shapeId="0" xr:uid="{16F6830C-3583-46D0-A756-2E9CC61303B8}">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28" authorId="0" shapeId="0" xr:uid="{EED4ADA6-3644-489B-8584-02A6777B9817}">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28" authorId="0" shapeId="0" xr:uid="{9D745AC0-DC0D-4AAE-A835-F94028329427}">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30" authorId="0" shapeId="0" xr:uid="{081F4D0C-540B-432D-A549-E693DE91E89E}">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31" authorId="0" shapeId="0" xr:uid="{B3629101-ED3F-41B2-8B9E-3C9E0110C50A}">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31" authorId="0" shapeId="0" xr:uid="{3993D009-8627-4EA2-82E9-9AD985078FB1}">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31" authorId="0" shapeId="0" xr:uid="{8769C559-A46F-429A-A7E6-CAD7400B76FD}">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32" authorId="0" shapeId="0" xr:uid="{87BD1865-AF87-4754-873B-EA3BE4210973}">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32" authorId="0" shapeId="0" xr:uid="{68AD593D-7095-44A6-A497-5AD393569BB3}">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34" authorId="0" shapeId="0" xr:uid="{920E3882-48AF-42D3-B2CB-68FA7E5C3E0A}">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35" authorId="0" shapeId="0" xr:uid="{2CC13621-5BAE-44F8-A14C-537224EB2F18}">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35" authorId="0" shapeId="0" xr:uid="{03D9429B-2017-47A7-B833-8AC9D1BE213D}">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37" authorId="0" shapeId="0" xr:uid="{524FD295-C3D2-40C0-BC95-DE2957141293}">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38" authorId="0" shapeId="0" xr:uid="{7D46EEAA-90A8-4428-8A0B-8BCB9B2A72B4}">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38" authorId="0" shapeId="0" xr:uid="{EB6C5D1F-7E20-4F51-8447-80F6B172FE5F}">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38" authorId="0" shapeId="0" xr:uid="{77A33131-7C0C-4FDE-8522-DA7A68066730}">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39" authorId="0" shapeId="0" xr:uid="{90A3336C-EE45-488C-BD7F-7D036FD10446}">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39" authorId="0" shapeId="0" xr:uid="{7890DBE5-F5EB-46B8-94F5-5661ABF4A15F}">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41" authorId="0" shapeId="0" xr:uid="{204630FE-E3C0-4057-B3C5-C93C079127C1}">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42" authorId="0" shapeId="0" xr:uid="{00F86821-3FDB-47F0-95D1-9DE5C3F8719B}">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42" authorId="0" shapeId="0" xr:uid="{0A6C1E4F-B547-42C0-9158-21E77F30A07F}">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44" authorId="0" shapeId="0" xr:uid="{9D5DC457-D674-4B8D-92D4-74C3BAC7D75D}">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45" authorId="0" shapeId="0" xr:uid="{11A9F251-E8AA-412E-8CAE-A317D94F6885}">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45" authorId="0" shapeId="0" xr:uid="{09FE69D1-787B-4477-89B2-2951A3A37558}">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45" authorId="0" shapeId="0" xr:uid="{030C8BAB-1DA8-4E77-AE9B-91F8024E1000}">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46" authorId="0" shapeId="0" xr:uid="{70EF9A7C-DFFC-491E-BB94-90DF0D765066}">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46" authorId="0" shapeId="0" xr:uid="{38131668-E45E-4F40-AA5B-20C62223219C}">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48" authorId="0" shapeId="0" xr:uid="{61DA41B5-CA98-4A3E-ABEC-660B78797701}">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49" authorId="0" shapeId="0" xr:uid="{103792EC-D997-419B-A149-9BCA8BCD2C0F}">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49" authorId="0" shapeId="0" xr:uid="{62257B2B-A602-4C8C-8AB5-3916665C60E1}">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51" authorId="0" shapeId="0" xr:uid="{297E71DA-33E2-4845-9DD4-35F5AD9750E9}">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52" authorId="0" shapeId="0" xr:uid="{9B9677A0-0540-4BD2-A6FA-AD6BD89BB208}">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52" authorId="0" shapeId="0" xr:uid="{2916A96E-0BE6-4813-818F-D8346AC60C42}">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52" authorId="0" shapeId="0" xr:uid="{CCB7CF75-C244-4CDE-BDD9-94BBE9B3423B}">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53" authorId="0" shapeId="0" xr:uid="{C4B4E931-0E29-4790-BA19-A52CB83562CE}">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53" authorId="0" shapeId="0" xr:uid="{C9A4C20D-C393-4AAB-8246-24216E7841DA}">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55" authorId="0" shapeId="0" xr:uid="{A4C3DAF7-975B-4457-994C-82F28B46C77E}">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56" authorId="0" shapeId="0" xr:uid="{DDBB5D76-2A07-403D-9088-AFE4FD021E7E}">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56" authorId="0" shapeId="0" xr:uid="{AC6894E7-2538-49BF-8C58-6AA89F248B45}">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C59" authorId="0" shapeId="0" xr:uid="{62A742A6-2F8C-486B-820A-859F93E2DBD2}">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59" authorId="0" shapeId="0" xr:uid="{94C4F324-9CEF-491F-BD12-5E6CC1AA4D9F}">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59" authorId="0" shapeId="0" xr:uid="{8813BE12-73C9-481F-8AFC-7A0F74320FFF}">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60" authorId="0" shapeId="0" xr:uid="{DCED19B3-5448-416D-AD6B-8CF0AC8937D9}">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60" authorId="0" shapeId="0" xr:uid="{61429DDF-1535-4D34-B5CD-5307EC26F962}">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62" authorId="0" shapeId="0" xr:uid="{DB8D869C-89C2-4DCD-A34A-A2DECD98DEF9}">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63" authorId="0" shapeId="0" xr:uid="{CE87ADB4-F3E3-45AE-B4DB-3D45D2CFBF4F}">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63" authorId="0" shapeId="0" xr:uid="{01B6571D-A74B-4FFC-986C-EB8426496B3A}">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65" authorId="0" shapeId="0" xr:uid="{9D897CEA-2295-44BF-A736-3DA63DD90249}">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66" authorId="0" shapeId="0" xr:uid="{18101EB7-838A-44D2-B369-DD526A244A08}">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66" authorId="0" shapeId="0" xr:uid="{E0EF849C-0461-497E-B65C-1C4A1DBCD60F}">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66" authorId="0" shapeId="0" xr:uid="{618A9D6B-B608-4CEF-A373-9A0863F4C62C}">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67" authorId="0" shapeId="0" xr:uid="{01FC9698-D935-419D-B92E-9FED1E375D6D}">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67" authorId="0" shapeId="0" xr:uid="{8F3FE315-6C15-40DE-9A10-088DC4DE2C7A}">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69" authorId="0" shapeId="0" xr:uid="{074CE76C-E7E0-47B2-8998-499C8313FF32}">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70" authorId="0" shapeId="0" xr:uid="{915E6800-E02B-4C55-BACD-C78EC131DEE0}">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70" authorId="0" shapeId="0" xr:uid="{9871BCB9-137A-4941-8D97-FBCDF5F459D6}">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72" authorId="0" shapeId="0" xr:uid="{EAAE2336-2C94-4A57-B652-A568B85C4B8E}">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73" authorId="0" shapeId="0" xr:uid="{C07673F3-0AC2-495F-81F6-1DBA185CA695}">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73" authorId="0" shapeId="0" xr:uid="{29871121-223C-4ECE-8202-605FDDF65E05}">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73" authorId="0" shapeId="0" xr:uid="{16711BFF-9209-48BF-A8F0-EC35322177C0}">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74" authorId="0" shapeId="0" xr:uid="{5990EF6C-2662-42E3-AE40-F9ACA5D883DC}">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74" authorId="0" shapeId="0" xr:uid="{04330438-4428-4C95-AFEA-6DA61EF72746}">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76" authorId="0" shapeId="0" xr:uid="{1801360E-1035-4BE8-8946-6C5CC3DF4AA2}">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77" authorId="0" shapeId="0" xr:uid="{EF8752A6-21AC-43F1-A467-4A9EB8851AFE}">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77" authorId="0" shapeId="0" xr:uid="{4A812552-E741-41B1-81A9-2BF12A0D42CC}">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G79" authorId="0" shapeId="0" xr:uid="{A24FE54E-06F3-408D-9517-B0A2D5824F19}">
      <text>
        <r>
          <rPr>
            <b/>
            <sz val="9"/>
            <color indexed="81"/>
            <rFont val="Tahoma"/>
            <charset val="1"/>
          </rPr>
          <t>Laaksonen Aki:</t>
        </r>
        <r>
          <rPr>
            <sz val="9"/>
            <color indexed="81"/>
            <rFont val="Tahoma"/>
            <charset val="1"/>
          </rPr>
          <t xml:space="preserve">
</t>
        </r>
        <r>
          <rPr>
            <b/>
            <u/>
            <sz val="9"/>
            <color indexed="81"/>
            <rFont val="Tahoma"/>
            <family val="2"/>
          </rPr>
          <t>Arvonlisäverokanta:</t>
        </r>
        <r>
          <rPr>
            <sz val="9"/>
            <color indexed="81"/>
            <rFont val="Tahoma"/>
            <charset val="1"/>
          </rPr>
          <t xml:space="preserve">
- Yleinen verokanta 25,5 %
- Alennettu verokanta 13,5 %
- Alennettu verokanta 10,0 %
- Nollaverokannan alainen myynti 0,0 %
</t>
        </r>
      </text>
    </comment>
    <comment ref="C80" authorId="0" shapeId="0" xr:uid="{3B8F9708-807A-42B8-8617-9A3FCC078D54}">
      <text>
        <r>
          <rPr>
            <b/>
            <sz val="9"/>
            <color indexed="81"/>
            <rFont val="Tahoma"/>
            <family val="2"/>
          </rPr>
          <t>Laaksonen Aki:</t>
        </r>
        <r>
          <rPr>
            <sz val="9"/>
            <color indexed="81"/>
            <rFont val="Tahoma"/>
            <family val="2"/>
          </rPr>
          <t xml:space="preserve">
</t>
        </r>
        <r>
          <rPr>
            <b/>
            <u/>
            <sz val="9"/>
            <color indexed="81"/>
            <rFont val="Tahoma"/>
            <family val="2"/>
          </rPr>
          <t>Tuote/palvelu:</t>
        </r>
        <r>
          <rPr>
            <sz val="9"/>
            <color indexed="81"/>
            <rFont val="Tahoma"/>
            <family val="2"/>
          </rPr>
          <t xml:space="preserve">
Voit kirjoittaa tähän tuotteen tai palvelun nimen.</t>
        </r>
      </text>
    </comment>
    <comment ref="E80" authorId="0" shapeId="0" xr:uid="{F3F09DA2-318E-4436-9BA9-2517930477A3}">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F80" authorId="0" shapeId="0" xr:uid="{664F1290-AB7C-4234-AEFC-C979AF831452}">
      <text>
        <r>
          <rPr>
            <b/>
            <sz val="9"/>
            <color indexed="81"/>
            <rFont val="Tahoma"/>
            <family val="2"/>
          </rPr>
          <t>Laaksonen Aki:</t>
        </r>
        <r>
          <rPr>
            <sz val="9"/>
            <color indexed="81"/>
            <rFont val="Tahoma"/>
            <family val="2"/>
          </rPr>
          <t xml:space="preserve">
</t>
        </r>
        <r>
          <rPr>
            <b/>
            <u/>
            <sz val="9"/>
            <color indexed="81"/>
            <rFont val="Tahoma"/>
            <family val="2"/>
          </rPr>
          <t>Liikevaihto:</t>
        </r>
        <r>
          <rPr>
            <sz val="9"/>
            <color indexed="81"/>
            <rFont val="Tahoma"/>
            <family val="2"/>
          </rPr>
          <t xml:space="preserve">
Tuotteen tai palvelun liikevaihto vuodessa toteutuneella tilikaudella.</t>
        </r>
      </text>
    </comment>
    <comment ref="E81" authorId="0" shapeId="0" xr:uid="{3226AD40-2D43-44BC-B569-375D6E696336}">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F81" authorId="0" shapeId="0" xr:uid="{B10D0DCE-4FB6-47D4-8429-A6CEDCCB722D}">
      <text>
        <r>
          <rPr>
            <b/>
            <sz val="9"/>
            <color indexed="81"/>
            <rFont val="Tahoma"/>
            <family val="2"/>
          </rPr>
          <t>Laaksonen Aki:</t>
        </r>
        <r>
          <rPr>
            <sz val="9"/>
            <color indexed="81"/>
            <rFont val="Tahoma"/>
            <family val="2"/>
          </rPr>
          <t xml:space="preserve">
</t>
        </r>
        <r>
          <rPr>
            <b/>
            <u/>
            <sz val="9"/>
            <color indexed="81"/>
            <rFont val="Tahoma"/>
            <family val="2"/>
          </rPr>
          <t>Myynti/suoritemäärä yksikköä:</t>
        </r>
        <r>
          <rPr>
            <sz val="9"/>
            <color indexed="81"/>
            <rFont val="Tahoma"/>
            <family val="2"/>
          </rPr>
          <t xml:space="preserve">
Jos ei tiedetä myyntimäärää, niin merkitse 1.</t>
        </r>
      </text>
    </comment>
    <comment ref="G83" authorId="0" shapeId="0" xr:uid="{3D3A4398-69D1-4812-A7B5-842E0DDC47BC}">
      <text>
        <r>
          <rPr>
            <b/>
            <sz val="9"/>
            <color indexed="81"/>
            <rFont val="Tahoma"/>
            <family val="2"/>
          </rPr>
          <t>Laaksonen Aki:</t>
        </r>
        <r>
          <rPr>
            <sz val="9"/>
            <color indexed="81"/>
            <rFont val="Tahoma"/>
            <family val="2"/>
          </rPr>
          <t xml:space="preserve">
</t>
        </r>
        <r>
          <rPr>
            <b/>
            <u/>
            <sz val="9"/>
            <color indexed="81"/>
            <rFont val="Tahoma"/>
            <family val="2"/>
          </rPr>
          <t>Ainekäytön/hankintojen osuus (%):</t>
        </r>
        <r>
          <rPr>
            <sz val="9"/>
            <color indexed="81"/>
            <rFont val="Tahoma"/>
            <family val="2"/>
          </rPr>
          <t xml:space="preserve">
Ainekäyttöprosenttin laskenta:
(Tuotteeseen kohdistuvat ostot / liikevaihto) x 100%.
Jos ainekäyttöprosenttia ei pystytä laskemaan, voit määritellä ainekäytön katelaskennan kautta.
Esim. 30% myyntikate = ainekäyttö-% on 70%.. 
</t>
        </r>
      </text>
    </comment>
    <comment ref="E84" authorId="0" shapeId="0" xr:uid="{FC478ED3-D909-48EF-9541-2A2E7E4923AC}">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 ref="F84" authorId="0" shapeId="0" xr:uid="{4FB186BC-2F36-4EDA-802C-DE16A17C9D02}">
      <text>
        <r>
          <rPr>
            <b/>
            <sz val="9"/>
            <color indexed="81"/>
            <rFont val="Tahoma"/>
            <family val="2"/>
          </rPr>
          <t>Laaksonen Aki:</t>
        </r>
        <r>
          <rPr>
            <sz val="9"/>
            <color indexed="81"/>
            <rFont val="Tahoma"/>
            <family val="2"/>
          </rPr>
          <t xml:space="preserve">
</t>
        </r>
        <r>
          <rPr>
            <b/>
            <u/>
            <sz val="9"/>
            <color indexed="81"/>
            <rFont val="Tahoma"/>
            <family val="2"/>
          </rPr>
          <t>Ainekäyttö/hankinnat alv 0 %:</t>
        </r>
        <r>
          <rPr>
            <sz val="9"/>
            <color indexed="81"/>
            <rFont val="Tahoma"/>
            <family val="2"/>
          </rPr>
          <t xml:space="preserve">
Paljonko tähän tuotteeseen tai palveluun on kohdistunut ainekäyttöä eli ostoja toteutuneella tilikaudella?
Huomioi mahdollinen varaston muutos ja yrityskaupan yhteydessä ostettu vaihto-omaisuus.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B2" authorId="0" shapeId="0" xr:uid="{E4E9CEAE-5D34-410D-AB8B-F4B293ED8D38}">
      <text>
        <r>
          <rPr>
            <b/>
            <sz val="9"/>
            <color indexed="81"/>
            <rFont val="Tahoma"/>
            <family val="2"/>
          </rPr>
          <t>Laaksonen Aki:</t>
        </r>
        <r>
          <rPr>
            <sz val="9"/>
            <color indexed="81"/>
            <rFont val="Tahoma"/>
            <family val="2"/>
          </rPr>
          <t xml:space="preserve">
</t>
        </r>
        <r>
          <rPr>
            <b/>
            <u/>
            <sz val="9"/>
            <color indexed="81"/>
            <rFont val="Tahoma"/>
            <family val="2"/>
          </rPr>
          <t>Rahoitussuunnitelma:</t>
        </r>
        <r>
          <rPr>
            <sz val="9"/>
            <color indexed="81"/>
            <rFont val="Tahoma"/>
            <family val="2"/>
          </rPr>
          <t xml:space="preserve">
</t>
        </r>
        <r>
          <rPr>
            <b/>
            <sz val="9"/>
            <color indexed="81"/>
            <rFont val="Tahoma"/>
            <family val="2"/>
          </rPr>
          <t>Laskelman tärkein luku on solu H45 Vaihto-omaisuuden määrä liikevaihdosta (%).</t>
        </r>
        <r>
          <rPr>
            <sz val="9"/>
            <color indexed="81"/>
            <rFont val="Tahoma"/>
            <family val="2"/>
          </rPr>
          <t xml:space="preserve">
Lue solun ohje. Tarkista erityisesti alareunan kohdat 28 - 34! 
Lisää puuttuvat tiedot. </t>
        </r>
      </text>
    </comment>
    <comment ref="D10" authorId="0" shapeId="0" xr:uid="{BC99B791-FEC6-4DE5-A702-33E684470A2B}">
      <text>
        <r>
          <rPr>
            <b/>
            <sz val="9"/>
            <color indexed="81"/>
            <rFont val="Tahoma"/>
            <family val="2"/>
          </rPr>
          <t>Laaksonen Aki:</t>
        </r>
        <r>
          <rPr>
            <sz val="9"/>
            <color indexed="81"/>
            <rFont val="Tahoma"/>
            <family val="2"/>
          </rPr>
          <t xml:space="preserve">
</t>
        </r>
        <r>
          <rPr>
            <b/>
            <u/>
            <sz val="9"/>
            <color indexed="81"/>
            <rFont val="Tahoma"/>
            <family val="2"/>
          </rPr>
          <t>Rahoitustulos:</t>
        </r>
        <r>
          <rPr>
            <sz val="9"/>
            <color indexed="81"/>
            <rFont val="Tahoma"/>
            <family val="2"/>
          </rPr>
          <t xml:space="preserve">
Rahoitustulos kertoo, kuinka paljon yrityksen varsinainen liiketoiminta tuottaa tulorahoitusta.
Rahoitustulos kuvaa yrityksen kykyä suoriutua varsinaisen liiketoiminnan tuotoilla lainojen lyhennyksistä, käyttöpääoman lisäyksestä ja investointien omarahoituksesta. Rahoitustuloksella yrityksen tulisi pystyä kattamaan myös omistajien voitonjakotarpeet.</t>
        </r>
      </text>
    </comment>
    <comment ref="H11" authorId="0" shapeId="0" xr:uid="{C29E6EB4-0374-44D7-863A-C35199A1A962}">
      <text>
        <r>
          <rPr>
            <b/>
            <sz val="9"/>
            <color indexed="81"/>
            <rFont val="Tahoma"/>
            <family val="2"/>
          </rPr>
          <t>Laaksonen Aki:</t>
        </r>
        <r>
          <rPr>
            <sz val="9"/>
            <color indexed="81"/>
            <rFont val="Tahoma"/>
            <family val="2"/>
          </rPr>
          <t xml:space="preserve">
</t>
        </r>
        <r>
          <rPr>
            <b/>
            <u/>
            <sz val="9"/>
            <color indexed="81"/>
            <rFont val="Tahoma"/>
            <family val="2"/>
          </rPr>
          <t>Omistajien lisäsijoitukset:</t>
        </r>
        <r>
          <rPr>
            <sz val="9"/>
            <color indexed="81"/>
            <rFont val="Tahoma"/>
            <family val="2"/>
          </rPr>
          <t xml:space="preserve">
Taulukko 1 INVESTOINTISUUNNITELMA kohta 11.</t>
        </r>
      </text>
    </comment>
    <comment ref="M13" authorId="0" shapeId="0" xr:uid="{9F1EB372-B52C-4311-9F43-DD00C9398F2A}">
      <text>
        <r>
          <rPr>
            <b/>
            <sz val="9"/>
            <color indexed="81"/>
            <rFont val="Tahoma"/>
            <family val="2"/>
          </rPr>
          <t>Laaksonen Aki:</t>
        </r>
        <r>
          <rPr>
            <sz val="9"/>
            <color indexed="81"/>
            <rFont val="Tahoma"/>
            <family val="2"/>
          </rPr>
          <t xml:space="preserve">
</t>
        </r>
        <r>
          <rPr>
            <b/>
            <u/>
            <sz val="9"/>
            <color indexed="81"/>
            <rFont val="Tahoma"/>
            <family val="2"/>
          </rPr>
          <t>Sijoitettu pääoma:</t>
        </r>
        <r>
          <rPr>
            <sz val="9"/>
            <color indexed="81"/>
            <rFont val="Tahoma"/>
            <family val="2"/>
          </rPr>
          <t xml:space="preserve">
Sijoitettu pääoma = Oikaistu oma pääoma + sijoitettu korollinen vieras pääoma
Sijoitettu pääoma lasketaan tilikauden alun ja lopun keskiarvona. Jos tilikauden oikaistu oma pääoma on negatiivinen, on sijoitettu pääoma kuitenkin sijoitetun vieraan pääoman suuruinen.</t>
        </r>
      </text>
    </comment>
    <comment ref="D15" authorId="0" shapeId="0" xr:uid="{B2DF2CBB-2417-4EC9-BB18-9E917620E9F4}">
      <text>
        <r>
          <rPr>
            <b/>
            <sz val="9"/>
            <color indexed="81"/>
            <rFont val="Tahoma"/>
            <family val="2"/>
          </rPr>
          <t>Laaksonen Aki:</t>
        </r>
        <r>
          <rPr>
            <sz val="9"/>
            <color indexed="81"/>
            <rFont val="Tahoma"/>
            <family val="2"/>
          </rPr>
          <t xml:space="preserve">
</t>
        </r>
        <r>
          <rPr>
            <b/>
            <u/>
            <sz val="9"/>
            <color indexed="81"/>
            <rFont val="Tahoma"/>
            <family val="2"/>
          </rPr>
          <t>Osakepääoman konvertointi:</t>
        </r>
        <r>
          <rPr>
            <sz val="9"/>
            <color indexed="81"/>
            <rFont val="Tahoma"/>
            <family val="2"/>
          </rPr>
          <t xml:space="preserve">
Osakepääoman konvertoinnissa pääomalainaa muutetaan osakepääomaksi.</t>
        </r>
      </text>
    </comment>
    <comment ref="M15" authorId="0" shapeId="0" xr:uid="{456280B2-2985-4D0D-88D7-FA5EDC81AD6C}">
      <text>
        <r>
          <rPr>
            <b/>
            <sz val="9"/>
            <color indexed="81"/>
            <rFont val="Tahoma"/>
            <family val="2"/>
          </rPr>
          <t>Laaksonen Aki:</t>
        </r>
        <r>
          <rPr>
            <sz val="9"/>
            <color indexed="81"/>
            <rFont val="Tahoma"/>
            <family val="2"/>
          </rPr>
          <t xml:space="preserve">
</t>
        </r>
        <r>
          <rPr>
            <b/>
            <u/>
            <sz val="9"/>
            <color indexed="81"/>
            <rFont val="Tahoma"/>
            <family val="2"/>
          </rPr>
          <t>Käyttökate (EBITDA):</t>
        </r>
        <r>
          <rPr>
            <sz val="9"/>
            <color indexed="81"/>
            <rFont val="Tahoma"/>
            <family val="2"/>
          </rPr>
          <t xml:space="preserve">
Käyttökate kuvaa yrityksen varsinaisen liiketoiminnan tulosta ennen poistoja, rahoituseriä ja veroja. Käyttökate kertoo, kuinka paljon yrityksen liikevaihdosta jää katetta, kun siitä vähennetään yrityksen toimintakulut.</t>
        </r>
      </text>
    </comment>
    <comment ref="M16" authorId="0" shapeId="0" xr:uid="{9D9D958B-20C9-4B7C-BFCF-4C8E7D3C54ED}">
      <text>
        <r>
          <rPr>
            <b/>
            <sz val="9"/>
            <color indexed="81"/>
            <rFont val="Tahoma"/>
            <family val="2"/>
          </rPr>
          <t>Laaksonen Aki:</t>
        </r>
        <r>
          <rPr>
            <sz val="9"/>
            <color indexed="81"/>
            <rFont val="Tahoma"/>
            <family val="2"/>
          </rPr>
          <t xml:space="preserve">
</t>
        </r>
        <r>
          <rPr>
            <b/>
            <u/>
            <sz val="9"/>
            <color indexed="81"/>
            <rFont val="Tahoma"/>
            <family val="2"/>
          </rPr>
          <t>Käyttökate-%:</t>
        </r>
        <r>
          <rPr>
            <sz val="9"/>
            <color indexed="81"/>
            <rFont val="Tahoma"/>
            <family val="2"/>
          </rPr>
          <t xml:space="preserve">
Käyttökate-% = 100 * käyttökate / liiketoiminnan tuotot yhteensä
Käyttökateprosentti kertoo liiketoiminnan tuloksen ennen poistoja ja rahoituseriä. Kateprosenttia verrataan toisiin saman toimialan yrityksiin.</t>
        </r>
      </text>
    </comment>
    <comment ref="M17" authorId="0" shapeId="0" xr:uid="{4C4DD2DB-821C-4A3C-B477-E8BE8D000DA5}">
      <text>
        <r>
          <rPr>
            <b/>
            <sz val="9"/>
            <color indexed="81"/>
            <rFont val="Tahoma"/>
            <family val="2"/>
          </rPr>
          <t>Laaksonen Aki:</t>
        </r>
        <r>
          <rPr>
            <sz val="9"/>
            <color indexed="81"/>
            <rFont val="Tahoma"/>
            <family val="2"/>
          </rPr>
          <t xml:space="preserve">
</t>
        </r>
        <r>
          <rPr>
            <b/>
            <u/>
            <sz val="9"/>
            <color indexed="81"/>
            <rFont val="Tahoma"/>
            <family val="2"/>
          </rPr>
          <t>Liiketulos (EBIT):</t>
        </r>
        <r>
          <rPr>
            <sz val="9"/>
            <color indexed="81"/>
            <rFont val="Tahoma"/>
            <family val="2"/>
          </rPr>
          <t xml:space="preserve">
Liiketulos kertoo, kuinka paljon varsinaisen liiketoiminnan tuotoista on jäänyt jäljellä ennen rahoituseriä ja veroja. Tunnusluku huomio toimintakulujen lisäksi myös yrityksen käyttöomaisuuden kulumisen eli poistot.</t>
        </r>
      </text>
    </comment>
    <comment ref="M18" authorId="0" shapeId="0" xr:uid="{561D7F7E-3AB9-41D4-9D31-F8C440AEB389}">
      <text>
        <r>
          <rPr>
            <b/>
            <sz val="9"/>
            <color indexed="81"/>
            <rFont val="Tahoma"/>
            <family val="2"/>
          </rPr>
          <t>Laaksonen Aki:</t>
        </r>
        <r>
          <rPr>
            <sz val="9"/>
            <color indexed="81"/>
            <rFont val="Tahoma"/>
            <family val="2"/>
          </rPr>
          <t xml:space="preserve">
</t>
        </r>
        <r>
          <rPr>
            <b/>
            <u/>
            <sz val="9"/>
            <color indexed="81"/>
            <rFont val="Tahoma"/>
            <family val="2"/>
          </rPr>
          <t>Liiketulos-%:</t>
        </r>
        <r>
          <rPr>
            <sz val="9"/>
            <color indexed="81"/>
            <rFont val="Tahoma"/>
            <family val="2"/>
          </rPr>
          <t xml:space="preserve">
Liiketulos-% = 100 * liiketulos / liiketoiminnan tuotot yhteensä
</t>
        </r>
        <r>
          <rPr>
            <b/>
            <sz val="9"/>
            <color indexed="81"/>
            <rFont val="Tahoma"/>
            <family val="2"/>
          </rPr>
          <t>Ohjearvoja:</t>
        </r>
        <r>
          <rPr>
            <sz val="9"/>
            <color indexed="81"/>
            <rFont val="Tahoma"/>
            <family val="2"/>
          </rPr>
          <t xml:space="preserve"> Hyvä &gt;10%, Tyydyttävä 5-10%, Heikko &lt;5%
Liiketulosprosentti kertoo kuinka paljon varsinaisen liiketoiminnan tuotoista on jäljellä ennen rahoituseriä ja veroja. Liiketulosprosenttia verrataan toisiin saman toimialan yrityksiin. </t>
        </r>
      </text>
    </comment>
    <comment ref="M22" authorId="0" shapeId="0" xr:uid="{EC226850-F04E-43C3-B457-F938F9E34D65}">
      <text>
        <r>
          <rPr>
            <b/>
            <sz val="9"/>
            <color indexed="81"/>
            <rFont val="Tahoma"/>
            <family val="2"/>
          </rPr>
          <t>Laaksonen Aki:</t>
        </r>
        <r>
          <rPr>
            <sz val="9"/>
            <color indexed="81"/>
            <rFont val="Tahoma"/>
            <family val="2"/>
          </rPr>
          <t xml:space="preserve">
</t>
        </r>
        <r>
          <rPr>
            <b/>
            <u/>
            <sz val="9"/>
            <color indexed="81"/>
            <rFont val="Tahoma"/>
            <family val="2"/>
          </rPr>
          <t>Sijoitetun pääoman tuotto-% (ROI):</t>
        </r>
        <r>
          <rPr>
            <sz val="9"/>
            <color indexed="81"/>
            <rFont val="Tahoma"/>
            <family val="2"/>
          </rPr>
          <t xml:space="preserve">
ROI = 100 * (nettotulos + rahoituskulut + verot) / sijoitettu pääoma keskimäärin
Sijoitetun pääoman tuottoprosentti (ROI) mittaa yrityksen suhteellista kannattavuutta eli sitä tuottoa, joka on saatu yritykseen sijoitetulle korkoa tai muuta tuottoa vaativalle pääomalle.</t>
        </r>
      </text>
    </comment>
    <comment ref="M23" authorId="0" shapeId="0" xr:uid="{B8248D08-EB60-42CD-850B-76225CA33ADA}">
      <text>
        <r>
          <rPr>
            <b/>
            <sz val="9"/>
            <color indexed="81"/>
            <rFont val="Tahoma"/>
            <family val="2"/>
          </rPr>
          <t>Laaksonen Aki:</t>
        </r>
        <r>
          <rPr>
            <sz val="9"/>
            <color indexed="81"/>
            <rFont val="Tahoma"/>
            <family val="2"/>
          </rPr>
          <t xml:space="preserve">
</t>
        </r>
        <r>
          <rPr>
            <b/>
            <u/>
            <sz val="9"/>
            <color indexed="81"/>
            <rFont val="Tahoma"/>
            <family val="2"/>
          </rPr>
          <t>Rahoitustulos-%:</t>
        </r>
        <r>
          <rPr>
            <sz val="9"/>
            <color indexed="81"/>
            <rFont val="Tahoma"/>
            <family val="2"/>
          </rPr>
          <t xml:space="preserve">
Rahoitustulos-%
= 100 * (liiketulos + rahoitustuotot - rahoituskulut - verot + poistot) / sijoitettu pääoma keskimäärin
</t>
        </r>
        <r>
          <rPr>
            <b/>
            <sz val="9"/>
            <color indexed="81"/>
            <rFont val="Tahoma"/>
            <family val="2"/>
          </rPr>
          <t>Ohjearvoja:</t>
        </r>
        <r>
          <rPr>
            <sz val="9"/>
            <color indexed="81"/>
            <rFont val="Tahoma"/>
            <family val="2"/>
          </rPr>
          <t xml:space="preserve"> Riittävä yli 0% ja Heikko alle 0%
Rahoitustulos kertoo, kuinka paljon yrityksen varsinainen liiketoiminta tuottaa tulorahoitusta. Rahoitustulos kuvaa yrityksen kykyä suoriutua varsinaisen liiketoiminnan tuotoilla lainojen lyhennyksistä, käyttöpääoman lisäyksestä ja investointien omarahoituksesta. Rahoitustuloksella yrityksen tulisi pystyä kattamaan myös omistajien voitonjakotarpeet.</t>
        </r>
      </text>
    </comment>
    <comment ref="H24" authorId="0" shapeId="0" xr:uid="{F187791A-CA19-41C0-89B0-ED1CF49EE22C}">
      <text>
        <r>
          <rPr>
            <b/>
            <sz val="9"/>
            <color indexed="81"/>
            <rFont val="Tahoma"/>
            <family val="2"/>
          </rPr>
          <t>Laaksonen Aki:</t>
        </r>
        <r>
          <rPr>
            <sz val="9"/>
            <color indexed="81"/>
            <rFont val="Tahoma"/>
            <family val="2"/>
          </rPr>
          <t xml:space="preserve">
</t>
        </r>
        <r>
          <rPr>
            <b/>
            <u/>
            <sz val="9"/>
            <color indexed="81"/>
            <rFont val="Tahoma"/>
            <family val="2"/>
          </rPr>
          <t>Muu rahoitusomaisuuden lisäys:</t>
        </r>
        <r>
          <rPr>
            <sz val="9"/>
            <color indexed="81"/>
            <rFont val="Tahoma"/>
            <family val="2"/>
          </rPr>
          <t xml:space="preserve">
3 TASEesta siirtynyt
- Rahoitusarvopapereiden lisäys tai vähennys</t>
        </r>
      </text>
    </comment>
    <comment ref="M26" authorId="0" shapeId="0" xr:uid="{5C832750-53CE-45AF-9BD4-9E297117A2B7}">
      <text>
        <r>
          <rPr>
            <b/>
            <sz val="9"/>
            <color indexed="81"/>
            <rFont val="Tahoma"/>
            <family val="2"/>
          </rPr>
          <t>Laaksonen Aki:</t>
        </r>
        <r>
          <rPr>
            <sz val="9"/>
            <color indexed="81"/>
            <rFont val="Tahoma"/>
            <family val="2"/>
          </rPr>
          <t xml:space="preserve">
</t>
        </r>
        <r>
          <rPr>
            <b/>
            <u/>
            <sz val="9"/>
            <color indexed="81"/>
            <rFont val="Tahoma"/>
            <family val="2"/>
          </rPr>
          <t>Quick ratio (lyhytaikainen maksuvalmius):</t>
        </r>
        <r>
          <rPr>
            <sz val="9"/>
            <color indexed="81"/>
            <rFont val="Tahoma"/>
            <family val="2"/>
          </rPr>
          <t xml:space="preserve">
Quick ratio = rahoitusomaisuus (rahat + rahoitusarvopaperit) / lyhytaikainen vieras pääoma
</t>
        </r>
        <r>
          <rPr>
            <b/>
            <sz val="9"/>
            <color indexed="81"/>
            <rFont val="Tahoma"/>
            <family val="2"/>
          </rPr>
          <t>Ohjearvoja:</t>
        </r>
        <r>
          <rPr>
            <sz val="9"/>
            <color indexed="81"/>
            <rFont val="Tahoma"/>
            <family val="2"/>
          </rPr>
          <t xml:space="preserve"> Hyvä &gt;1, Tyydyttävä 0,5-1 ja Heikko &lt;0,5
Quick ratio mittaa yrityksen kykyä selviytyä lyhytaikaisista veloistaan nopeasti rahaksi muutettavilla omaisuuserillään. Tunnusluku mittaa yrityksen kassavalmiutta ja rahoituspuskurien tilaa.</t>
        </r>
      </text>
    </comment>
    <comment ref="M28" authorId="0" shapeId="0" xr:uid="{610C481F-2996-43D5-B18C-C84D5A3B7DD5}">
      <text>
        <r>
          <rPr>
            <b/>
            <sz val="9"/>
            <color indexed="81"/>
            <rFont val="Tahoma"/>
            <family val="2"/>
          </rPr>
          <t>Laaksonen Aki:</t>
        </r>
        <r>
          <rPr>
            <sz val="9"/>
            <color indexed="81"/>
            <rFont val="Tahoma"/>
            <family val="2"/>
          </rPr>
          <t xml:space="preserve">
</t>
        </r>
        <r>
          <rPr>
            <b/>
            <u/>
            <sz val="9"/>
            <color indexed="81"/>
            <rFont val="Tahoma"/>
            <family val="2"/>
          </rPr>
          <t>Current ratio (pitkäaikainen maksuvalmius):</t>
        </r>
        <r>
          <rPr>
            <sz val="9"/>
            <color indexed="81"/>
            <rFont val="Tahoma"/>
            <family val="2"/>
          </rPr>
          <t xml:space="preserve">
Current ratio = (vaihto-omaisuus + rahoitusomaisuus) / lyhytaikainen vieras pääoma
</t>
        </r>
        <r>
          <rPr>
            <b/>
            <sz val="9"/>
            <color indexed="81"/>
            <rFont val="Tahoma"/>
            <family val="2"/>
          </rPr>
          <t>Ohjearvoja:</t>
        </r>
        <r>
          <rPr>
            <sz val="9"/>
            <color indexed="81"/>
            <rFont val="Tahoma"/>
            <family val="2"/>
          </rPr>
          <t xml:space="preserve"> Hyvä &gt;2, Tyydyttävä 1-2 ja Heikko &lt;1
Current ratio mittaa yrityksen maksuvalmiutta ja rahoituspuskuria. Current ratiossa tarkasteluperspektiivi on hieman pitempi kuin Quick ratiossa. Siinä nopeasti rahaksi muutettaviin eriin luetaan mukaan myös yrityksen vaihto-omaisuus.</t>
        </r>
      </text>
    </comment>
    <comment ref="H30" authorId="0" shapeId="0" xr:uid="{AC66DDD9-0554-4633-B1AD-D34F783DDD3B}">
      <text>
        <r>
          <rPr>
            <b/>
            <sz val="9"/>
            <color indexed="81"/>
            <rFont val="Tahoma"/>
            <family val="2"/>
          </rPr>
          <t>Laaksonen Aki:</t>
        </r>
        <r>
          <rPr>
            <sz val="9"/>
            <color indexed="81"/>
            <rFont val="Tahoma"/>
            <family val="2"/>
          </rPr>
          <t xml:space="preserve">
</t>
        </r>
        <r>
          <rPr>
            <b/>
            <u/>
            <sz val="9"/>
            <color indexed="81"/>
            <rFont val="Tahoma"/>
            <family val="2"/>
          </rPr>
          <t>Pitkäaikaisten lainojen lyhennyserämuutokset:</t>
        </r>
        <r>
          <rPr>
            <sz val="9"/>
            <color indexed="81"/>
            <rFont val="Tahoma"/>
            <family val="2"/>
          </rPr>
          <t xml:space="preserve">
a) Lisälyhennys (+) merkkinen
b) Lyhennyserän pienentäminen (-) merkkinen</t>
        </r>
      </text>
    </comment>
    <comment ref="M30" authorId="0" shapeId="0" xr:uid="{5C342976-9984-4320-97BC-96729C40A4D8}">
      <text>
        <r>
          <rPr>
            <b/>
            <sz val="9"/>
            <color indexed="81"/>
            <rFont val="Tahoma"/>
            <family val="2"/>
          </rPr>
          <t>Laaksonen Aki:</t>
        </r>
        <r>
          <rPr>
            <sz val="9"/>
            <color indexed="81"/>
            <rFont val="Tahoma"/>
            <family val="2"/>
          </rPr>
          <t xml:space="preserve">
</t>
        </r>
        <r>
          <rPr>
            <b/>
            <u/>
            <sz val="9"/>
            <color indexed="81"/>
            <rFont val="Tahoma"/>
            <family val="2"/>
          </rPr>
          <t>Vieraan pääoman takaisinmaksuaika (vuotta):</t>
        </r>
        <r>
          <rPr>
            <sz val="9"/>
            <color indexed="81"/>
            <rFont val="Tahoma"/>
            <family val="2"/>
          </rPr>
          <t xml:space="preserve">
Vieraan pääoman takaisinmaksuaika = sijoitettu vieras pääoma tilikauden lopussa / rahoitustulos
</t>
        </r>
        <r>
          <rPr>
            <b/>
            <sz val="9"/>
            <color indexed="81"/>
            <rFont val="Tahoma"/>
            <family val="2"/>
          </rPr>
          <t>Ohjearvoja:</t>
        </r>
        <r>
          <rPr>
            <sz val="9"/>
            <color indexed="81"/>
            <rFont val="Tahoma"/>
            <family val="2"/>
          </rPr>
          <t xml:space="preserve"> Luku pienempi kuin pitkäaikaisten lainojen keskimääräinen takaisinmaksuaika.
</t>
        </r>
      </text>
    </comment>
    <comment ref="M31" authorId="0" shapeId="0" xr:uid="{A3733611-F910-498A-AE2F-DF0836BB77D1}">
      <text>
        <r>
          <rPr>
            <b/>
            <sz val="9"/>
            <color indexed="81"/>
            <rFont val="Tahoma"/>
            <family val="2"/>
          </rPr>
          <t>Laaksonen Aki:</t>
        </r>
        <r>
          <rPr>
            <sz val="9"/>
            <color indexed="81"/>
            <rFont val="Tahoma"/>
            <family val="2"/>
          </rPr>
          <t xml:space="preserve">
</t>
        </r>
        <r>
          <rPr>
            <b/>
            <u/>
            <sz val="9"/>
            <color indexed="81"/>
            <rFont val="Tahoma"/>
            <family val="2"/>
          </rPr>
          <t>Lainojen hoitokate:</t>
        </r>
        <r>
          <rPr>
            <sz val="9"/>
            <color indexed="81"/>
            <rFont val="Tahoma"/>
            <family val="2"/>
          </rPr>
          <t xml:space="preserve">
Lainojen hoitokate
= (rahoituskulut + rahoitustulos) / (rahoituskulut + pitkäaikaisten lainojen lyhennykset)
</t>
        </r>
        <r>
          <rPr>
            <b/>
            <sz val="9"/>
            <color indexed="81"/>
            <rFont val="Tahoma"/>
            <family val="2"/>
          </rPr>
          <t>Ohjearvoja:</t>
        </r>
        <r>
          <rPr>
            <sz val="9"/>
            <color indexed="81"/>
            <rFont val="Tahoma"/>
            <family val="2"/>
          </rPr>
          <t xml:space="preserve"> Hyvä &gt;2, Tyydyttävä 1-2 ja Heikko &lt;1
Tunnusluvun ideana on suhteuttaa vieraan pääoman hoitamiseen käytettävissä oleva tulorahoituksen määrä vieraasta pääomasta tilikaudella syntyvien velvoitteiden määrään. Lainojen hoitokate mittaa tulorahoituksen riittävyyttä vieraan pääoman hoitovelvoitteiden näkökulmasta.</t>
        </r>
      </text>
    </comment>
    <comment ref="H34" authorId="0" shapeId="0" xr:uid="{45DB03F3-79D0-4F08-A7CE-C162B766CF63}">
      <text>
        <r>
          <rPr>
            <b/>
            <sz val="9"/>
            <color indexed="81"/>
            <rFont val="Tahoma"/>
            <family val="2"/>
          </rPr>
          <t>Laaksonen Aki:</t>
        </r>
        <r>
          <rPr>
            <sz val="9"/>
            <color indexed="81"/>
            <rFont val="Tahoma"/>
            <family val="2"/>
          </rPr>
          <t xml:space="preserve">
</t>
        </r>
        <r>
          <rPr>
            <b/>
            <u/>
            <sz val="9"/>
            <color indexed="81"/>
            <rFont val="Tahoma"/>
            <family val="2"/>
          </rPr>
          <t>Osingonjako/yksityisotot:</t>
        </r>
        <r>
          <rPr>
            <sz val="9"/>
            <color indexed="81"/>
            <rFont val="Tahoma"/>
            <family val="2"/>
          </rPr>
          <t xml:space="preserve">
Tätä lukua muutetaan, jos osinko/yksityisotto on muu, kuin ehdotus soluista viereisen taulukon alareunasta P49 - S49.</t>
        </r>
      </text>
    </comment>
    <comment ref="I34" authorId="0" shapeId="0" xr:uid="{1751599A-12A8-4693-8797-F27FC58782A8}">
      <text>
        <r>
          <rPr>
            <b/>
            <sz val="9"/>
            <color indexed="81"/>
            <rFont val="Tahoma"/>
            <family val="2"/>
          </rPr>
          <t>Laaksonen Aki:</t>
        </r>
        <r>
          <rPr>
            <sz val="9"/>
            <color indexed="81"/>
            <rFont val="Tahoma"/>
            <family val="2"/>
          </rPr>
          <t xml:space="preserve">
</t>
        </r>
        <r>
          <rPr>
            <b/>
            <u/>
            <sz val="9"/>
            <color indexed="81"/>
            <rFont val="Tahoma"/>
            <family val="2"/>
          </rPr>
          <t>Osingonjako/yksityisotot:</t>
        </r>
        <r>
          <rPr>
            <sz val="9"/>
            <color indexed="81"/>
            <rFont val="Tahoma"/>
            <family val="2"/>
          </rPr>
          <t xml:space="preserve">
Tätä lukua muutetaan, jos osinko/yksityisotto on muu, kuin ehdotus soluista viereisen taulukon alareunasta P49 - S49.</t>
        </r>
      </text>
    </comment>
    <comment ref="J34" authorId="0" shapeId="0" xr:uid="{3F122AE4-3D9F-4376-9791-84AAEC42BB9B}">
      <text>
        <r>
          <rPr>
            <b/>
            <sz val="9"/>
            <color indexed="81"/>
            <rFont val="Tahoma"/>
            <family val="2"/>
          </rPr>
          <t>Laaksonen Aki:</t>
        </r>
        <r>
          <rPr>
            <sz val="9"/>
            <color indexed="81"/>
            <rFont val="Tahoma"/>
            <family val="2"/>
          </rPr>
          <t xml:space="preserve">
</t>
        </r>
        <r>
          <rPr>
            <b/>
            <u/>
            <sz val="9"/>
            <color indexed="81"/>
            <rFont val="Tahoma"/>
            <family val="2"/>
          </rPr>
          <t>Osingonjako/yksityisotot:</t>
        </r>
        <r>
          <rPr>
            <sz val="9"/>
            <color indexed="81"/>
            <rFont val="Tahoma"/>
            <family val="2"/>
          </rPr>
          <t xml:space="preserve">
Tätä lukua muutetaan, jos osinko/yksityisotto on muu, kuin ehdotus soluista viereisen taulukon alareunasta P49 - S49.</t>
        </r>
      </text>
    </comment>
    <comment ref="K34" authorId="0" shapeId="0" xr:uid="{6003CFF2-BD24-4A1A-9E22-CB31855085E2}">
      <text>
        <r>
          <rPr>
            <b/>
            <sz val="9"/>
            <color indexed="81"/>
            <rFont val="Tahoma"/>
            <family val="2"/>
          </rPr>
          <t>Laaksonen Aki:</t>
        </r>
        <r>
          <rPr>
            <sz val="9"/>
            <color indexed="81"/>
            <rFont val="Tahoma"/>
            <family val="2"/>
          </rPr>
          <t xml:space="preserve">
</t>
        </r>
        <r>
          <rPr>
            <b/>
            <u/>
            <sz val="9"/>
            <color indexed="81"/>
            <rFont val="Tahoma"/>
            <family val="2"/>
          </rPr>
          <t>Osingonjako/yksityisotot:</t>
        </r>
        <r>
          <rPr>
            <sz val="9"/>
            <color indexed="81"/>
            <rFont val="Tahoma"/>
            <family val="2"/>
          </rPr>
          <t xml:space="preserve">
Tätä lukua muutetaan, jos osinko/yksityisotto on muu, kuin ehdotus soluista viereisen taulukon alareunasta P49 - S49.</t>
        </r>
      </text>
    </comment>
    <comment ref="M34" authorId="0" shapeId="0" xr:uid="{6CDB514F-D97A-4C2F-B8D1-4331B8E1468B}">
      <text>
        <r>
          <rPr>
            <b/>
            <sz val="9"/>
            <color indexed="81"/>
            <rFont val="Tahoma"/>
            <family val="2"/>
          </rPr>
          <t>Laaksonen Aki:</t>
        </r>
        <r>
          <rPr>
            <sz val="9"/>
            <color indexed="81"/>
            <rFont val="Tahoma"/>
            <family val="2"/>
          </rPr>
          <t xml:space="preserve">
</t>
        </r>
        <r>
          <rPr>
            <b/>
            <u/>
            <sz val="9"/>
            <color indexed="81"/>
            <rFont val="Tahoma"/>
            <family val="2"/>
          </rPr>
          <t>Omavaraisuusaste:</t>
        </r>
        <r>
          <rPr>
            <sz val="9"/>
            <color indexed="81"/>
            <rFont val="Tahoma"/>
            <family val="2"/>
          </rPr>
          <t xml:space="preserve">
Omavaraisuusaste = 100 * oikaistu oma pääoma / (oikaistu taseen loppusumma - saadut ennakot)
</t>
        </r>
        <r>
          <rPr>
            <b/>
            <sz val="9"/>
            <color indexed="81"/>
            <rFont val="Tahoma"/>
            <family val="2"/>
          </rPr>
          <t>Ohjearvoja:</t>
        </r>
        <r>
          <rPr>
            <sz val="9"/>
            <color indexed="81"/>
            <rFont val="Tahoma"/>
            <family val="2"/>
          </rPr>
          <t xml:space="preserve"> Hyvä &gt;40%, Tyydyttävä 20-40% ja Heikko &lt;20%
Omavaraisuusaste mittaa yrityksen vakavaraisuutta, tappion sietokykyä sekä kykyä selviytyä sitoumuksista pitkällä tähtäimellä. Tunnusluvun arvo kertoo, kuinka suuri osuus yhtiön varallisuudesta on rahoitettu omalla pääomalla.</t>
        </r>
      </text>
    </comment>
    <comment ref="H35" authorId="0" shapeId="0" xr:uid="{9385DCE7-C3F5-46D7-B5D0-8D22AC862C0C}">
      <text>
        <r>
          <rPr>
            <b/>
            <sz val="9"/>
            <color indexed="81"/>
            <rFont val="Tahoma"/>
            <family val="2"/>
          </rPr>
          <t>Laaksonen Aki:</t>
        </r>
        <r>
          <rPr>
            <sz val="9"/>
            <color indexed="81"/>
            <rFont val="Tahoma"/>
            <family val="2"/>
          </rPr>
          <t xml:space="preserve">
</t>
        </r>
        <r>
          <rPr>
            <b/>
            <u/>
            <sz val="9"/>
            <color indexed="81"/>
            <rFont val="Tahoma"/>
            <family val="2"/>
          </rPr>
          <t>Sijoitukset:</t>
        </r>
        <r>
          <rPr>
            <sz val="9"/>
            <color indexed="81"/>
            <rFont val="Tahoma"/>
            <family val="2"/>
          </rPr>
          <t xml:space="preserve">
Luvut siirtyneet 3 TASEesta soluista I32 - L32.</t>
        </r>
      </text>
    </comment>
    <comment ref="M36" authorId="0" shapeId="0" xr:uid="{9473F59A-A1BE-4E5A-98D2-9EADD2655768}">
      <text>
        <r>
          <rPr>
            <b/>
            <sz val="9"/>
            <color indexed="81"/>
            <rFont val="Tahoma"/>
            <family val="2"/>
          </rPr>
          <t>Laaksonen Aki:</t>
        </r>
        <r>
          <rPr>
            <sz val="9"/>
            <color indexed="81"/>
            <rFont val="Tahoma"/>
            <family val="2"/>
          </rPr>
          <t xml:space="preserve">
</t>
        </r>
        <r>
          <rPr>
            <b/>
            <u/>
            <sz val="9"/>
            <color indexed="81"/>
            <rFont val="Tahoma"/>
            <family val="2"/>
          </rPr>
          <t>Net Gearing (nettovelkaantumisaste):</t>
        </r>
        <r>
          <rPr>
            <sz val="9"/>
            <color indexed="81"/>
            <rFont val="Tahoma"/>
            <family val="2"/>
          </rPr>
          <t xml:space="preserve">
Net Gearing = (korollinen vieras pääoma - rahat ja rahoitusarvopaperit) / oikaistu oma pääoma
Korollinen vieras pääoma = pitkäaikainen vieras pääoma pl. saadut ennakot + korolliset lyhytaikaiset velat + muut korolliset sisäiset velat
</t>
        </r>
        <r>
          <rPr>
            <b/>
            <sz val="9"/>
            <color indexed="81"/>
            <rFont val="Tahoma"/>
            <family val="2"/>
          </rPr>
          <t>Ohjearvoja:</t>
        </r>
        <r>
          <rPr>
            <sz val="9"/>
            <color indexed="81"/>
            <rFont val="Tahoma"/>
            <family val="2"/>
          </rPr>
          <t xml:space="preserve"> Hyvä on alle 1. Jos luku on nolla (tyhjä solu) tai alle 0, niin yritys on nettovelaton. Jos negatiivinen arvo johtuu negatiivisesta omasta pääomasta, on tunnusluku heikko.
Nettovelkaantumisaste kuvaa yrityksen velkaantuneisuutta. Tunnusluku mittaa yrityksen korollisen nettovelan ja oman pääoman suhdetta. Nettovelka saadaan, kun korollisista veloista vähennetään likvidit rahavarat. Luku kertoo, mikä on omistajien yritykseen sijoittamien omien pääomien ja rahoittajilta lainattujen korollisten velkojen suhde.</t>
        </r>
      </text>
    </comment>
    <comment ref="H38" authorId="0" shapeId="0" xr:uid="{3C453DB9-2763-4DDE-BD05-E9858DEBB9A3}">
      <text>
        <r>
          <rPr>
            <b/>
            <sz val="9"/>
            <color indexed="81"/>
            <rFont val="Tahoma"/>
            <family val="2"/>
          </rPr>
          <t>Laaksonen Aki:</t>
        </r>
        <r>
          <rPr>
            <sz val="9"/>
            <color indexed="81"/>
            <rFont val="Tahoma"/>
            <family val="2"/>
          </rPr>
          <t xml:space="preserve">
</t>
        </r>
        <r>
          <rPr>
            <b/>
            <u/>
            <sz val="9"/>
            <color indexed="81"/>
            <rFont val="Tahoma"/>
            <family val="2"/>
          </rPr>
          <t>Kumulatiivinen yli-/alijäämä:</t>
        </r>
        <r>
          <rPr>
            <sz val="9"/>
            <color indexed="81"/>
            <rFont val="Tahoma"/>
            <family val="2"/>
          </rPr>
          <t xml:space="preserve">
Tarkista lopuksi, että rivin luvut ovat yhtä suuret kuin 3 TASE solut I46 - L46.</t>
        </r>
      </text>
    </comment>
    <comment ref="I38" authorId="0" shapeId="0" xr:uid="{D8153BAD-717D-4980-8171-FE11699E439F}">
      <text>
        <r>
          <rPr>
            <b/>
            <sz val="9"/>
            <color indexed="81"/>
            <rFont val="Tahoma"/>
            <family val="2"/>
          </rPr>
          <t>Laaksonen Aki:</t>
        </r>
        <r>
          <rPr>
            <sz val="9"/>
            <color indexed="81"/>
            <rFont val="Tahoma"/>
            <family val="2"/>
          </rPr>
          <t xml:space="preserve">
</t>
        </r>
        <r>
          <rPr>
            <b/>
            <u/>
            <sz val="9"/>
            <color indexed="81"/>
            <rFont val="Tahoma"/>
            <family val="2"/>
          </rPr>
          <t>Kumulatiivinen yli-/alijäämä:</t>
        </r>
        <r>
          <rPr>
            <sz val="9"/>
            <color indexed="81"/>
            <rFont val="Tahoma"/>
            <family val="2"/>
          </rPr>
          <t xml:space="preserve">
Tarkista lopuksi, että rivin luvut ovat yhtä suuret kuin 3 TASE solut I46 - L46.</t>
        </r>
      </text>
    </comment>
    <comment ref="J38" authorId="0" shapeId="0" xr:uid="{6B8B616A-F38B-427E-BE67-B0D3B842398A}">
      <text>
        <r>
          <rPr>
            <b/>
            <sz val="9"/>
            <color indexed="81"/>
            <rFont val="Tahoma"/>
            <family val="2"/>
          </rPr>
          <t>Laaksonen Aki:</t>
        </r>
        <r>
          <rPr>
            <sz val="9"/>
            <color indexed="81"/>
            <rFont val="Tahoma"/>
            <family val="2"/>
          </rPr>
          <t xml:space="preserve">
</t>
        </r>
        <r>
          <rPr>
            <b/>
            <u/>
            <sz val="9"/>
            <color indexed="81"/>
            <rFont val="Tahoma"/>
            <family val="2"/>
          </rPr>
          <t>Kumulatiivinen yli-/alijäämä:</t>
        </r>
        <r>
          <rPr>
            <sz val="9"/>
            <color indexed="81"/>
            <rFont val="Tahoma"/>
            <family val="2"/>
          </rPr>
          <t xml:space="preserve">
Tarkista lopuksi, että rivin luvut ovat yhtä suuret kuin 3 TASE solut I46 - L46.</t>
        </r>
      </text>
    </comment>
    <comment ref="K38" authorId="0" shapeId="0" xr:uid="{CA01BDB0-C352-43F0-9BBF-DDF2AA5ABDA8}">
      <text>
        <r>
          <rPr>
            <b/>
            <sz val="9"/>
            <color indexed="81"/>
            <rFont val="Tahoma"/>
            <family val="2"/>
          </rPr>
          <t>Laaksonen Aki:</t>
        </r>
        <r>
          <rPr>
            <sz val="9"/>
            <color indexed="81"/>
            <rFont val="Tahoma"/>
            <family val="2"/>
          </rPr>
          <t xml:space="preserve">
</t>
        </r>
        <r>
          <rPr>
            <b/>
            <u/>
            <sz val="9"/>
            <color indexed="81"/>
            <rFont val="Tahoma"/>
            <family val="2"/>
          </rPr>
          <t>Kumulatiivinen yli-/alijäämä:</t>
        </r>
        <r>
          <rPr>
            <sz val="9"/>
            <color indexed="81"/>
            <rFont val="Tahoma"/>
            <family val="2"/>
          </rPr>
          <t xml:space="preserve">
Tarkista lopuksi, että rivin luvut ovat yhtä suuret kuin 3 TASE solut I46 - L46.</t>
        </r>
      </text>
    </comment>
    <comment ref="D39" authorId="0" shapeId="0" xr:uid="{1F096BE0-BF65-4948-8E6B-6462ED9E6EFF}">
      <text>
        <r>
          <rPr>
            <b/>
            <sz val="9"/>
            <color indexed="81"/>
            <rFont val="Tahoma"/>
            <family val="2"/>
          </rPr>
          <t>Laaksonen Aki:</t>
        </r>
        <r>
          <rPr>
            <sz val="9"/>
            <color indexed="81"/>
            <rFont val="Tahoma"/>
            <family val="2"/>
          </rPr>
          <t xml:space="preserve">
</t>
        </r>
        <r>
          <rPr>
            <b/>
            <u/>
            <sz val="9"/>
            <color indexed="81"/>
            <rFont val="Tahoma"/>
            <family val="2"/>
          </rPr>
          <t>Kassan riittävyys / Muut kiinteät kulut (pv):</t>
        </r>
        <r>
          <rPr>
            <sz val="9"/>
            <color indexed="81"/>
            <rFont val="Tahoma"/>
            <family val="2"/>
          </rPr>
          <t xml:space="preserve">
Luku ilmoittaa, kuinka monta päivää "Kumulatiivinen kassa" (kohta 27) riittää kiinteisiin kustannuksiin. Suositus on vähintään 30 pv.
</t>
        </r>
        <r>
          <rPr>
            <u/>
            <sz val="9"/>
            <color indexed="81"/>
            <rFont val="Tahoma"/>
            <family val="2"/>
          </rPr>
          <t>Laskukaava:</t>
        </r>
        <r>
          <rPr>
            <sz val="9"/>
            <color indexed="81"/>
            <rFont val="Tahoma"/>
            <family val="2"/>
          </rPr>
          <t xml:space="preserve">
Kumulatiivinen yli- tai alijäämä / Muut kiinteät kulut (5 KUSTANNUKSET rivi 45) x 365</t>
        </r>
      </text>
    </comment>
    <comment ref="M39" authorId="0" shapeId="0" xr:uid="{E5ED99AC-0745-49DB-9B71-83697202C96B}">
      <text>
        <r>
          <rPr>
            <b/>
            <sz val="9"/>
            <color indexed="81"/>
            <rFont val="Tahoma"/>
            <family val="2"/>
          </rPr>
          <t>Laaksonen Aki:</t>
        </r>
        <r>
          <rPr>
            <sz val="9"/>
            <color indexed="81"/>
            <rFont val="Tahoma"/>
            <family val="2"/>
          </rPr>
          <t xml:space="preserve">
</t>
        </r>
        <r>
          <rPr>
            <b/>
            <u/>
            <sz val="9"/>
            <color indexed="81"/>
            <rFont val="Tahoma"/>
            <family val="2"/>
          </rPr>
          <t>Pakolliset henkilöstökulut/henkilö:</t>
        </r>
        <r>
          <rPr>
            <sz val="9"/>
            <color indexed="81"/>
            <rFont val="Tahoma"/>
            <family val="2"/>
          </rPr>
          <t xml:space="preserve">
Sisältää työsuhteeseen ja palkanmaksuun liittyvät pakolliset työvoimakulut.</t>
        </r>
      </text>
    </comment>
    <comment ref="D40" authorId="0" shapeId="0" xr:uid="{7E0833CC-4B36-421B-99B2-723F5E628A47}">
      <text>
        <r>
          <rPr>
            <b/>
            <sz val="9"/>
            <color indexed="81"/>
            <rFont val="Tahoma"/>
            <family val="2"/>
          </rPr>
          <t>Laaksonen Aki:</t>
        </r>
        <r>
          <rPr>
            <sz val="9"/>
            <color indexed="81"/>
            <rFont val="Tahoma"/>
            <family val="2"/>
          </rPr>
          <t xml:space="preserve">
</t>
        </r>
        <r>
          <rPr>
            <b/>
            <u/>
            <sz val="9"/>
            <color indexed="81"/>
            <rFont val="Tahoma"/>
            <family val="2"/>
          </rPr>
          <t xml:space="preserve">
Tarkastus:</t>
        </r>
        <r>
          <rPr>
            <sz val="9"/>
            <color indexed="81"/>
            <rFont val="Tahoma"/>
            <family val="2"/>
          </rPr>
          <t xml:space="preserve">
Kumulatiivinen yli-/alijäämä = TASE Rahat ja pankkisaamiset
Edellä mainittujen arvojen tulisi olla yhtä suuret. Tällä rivillä pitäisi erotuksen on luku nolla (0).</t>
        </r>
      </text>
    </comment>
    <comment ref="M40" authorId="0" shapeId="0" xr:uid="{70FE0864-76E0-4710-84BA-E4FFF44CD0EA}">
      <text>
        <r>
          <rPr>
            <b/>
            <sz val="9"/>
            <color indexed="81"/>
            <rFont val="Tahoma"/>
            <family val="2"/>
          </rPr>
          <t>Laaksonen Aki:</t>
        </r>
        <r>
          <rPr>
            <sz val="9"/>
            <color indexed="81"/>
            <rFont val="Tahoma"/>
            <family val="2"/>
          </rPr>
          <t xml:space="preserve">
</t>
        </r>
        <r>
          <rPr>
            <b/>
            <u/>
            <sz val="9"/>
            <color indexed="81"/>
            <rFont val="Tahoma"/>
            <family val="2"/>
          </rPr>
          <t>Kaikki henkilöstökulut/henkilö:</t>
        </r>
        <r>
          <rPr>
            <sz val="9"/>
            <color indexed="81"/>
            <rFont val="Tahoma"/>
            <family val="2"/>
          </rPr>
          <t xml:space="preserve">
Pakollisten työvoimakulujen lisäksi vapaaehtoiset henkilökulut, myös vapaaehtoiset eläkevakuutusmaksut.</t>
        </r>
      </text>
    </comment>
    <comment ref="M41" authorId="0" shapeId="0" xr:uid="{6F036BAD-813E-48F1-9AAF-31877747B104}">
      <text>
        <r>
          <rPr>
            <b/>
            <sz val="9"/>
            <color indexed="81"/>
            <rFont val="Tahoma"/>
            <family val="2"/>
          </rPr>
          <t>Laaksonen Aki:</t>
        </r>
        <r>
          <rPr>
            <sz val="9"/>
            <color indexed="81"/>
            <rFont val="Tahoma"/>
            <family val="2"/>
          </rPr>
          <t xml:space="preserve">
</t>
        </r>
        <r>
          <rPr>
            <b/>
            <u/>
            <sz val="9"/>
            <color indexed="81"/>
            <rFont val="Tahoma"/>
            <family val="2"/>
          </rPr>
          <t>Kriisitunnusluku Z:</t>
        </r>
        <r>
          <rPr>
            <sz val="9"/>
            <color indexed="81"/>
            <rFont val="Tahoma"/>
            <family val="2"/>
          </rPr>
          <t xml:space="preserve">
Z = (1,77 * rahoitustulos-%) + (14,14 * quick ratio) + (0,54 * omavaraisuusaste)
</t>
        </r>
        <r>
          <rPr>
            <b/>
            <sz val="9"/>
            <color indexed="81"/>
            <rFont val="Tahoma"/>
            <family val="2"/>
          </rPr>
          <t>Ohjearvoja:</t>
        </r>
        <r>
          <rPr>
            <sz val="9"/>
            <color indexed="81"/>
            <rFont val="Tahoma"/>
            <family val="2"/>
          </rPr>
          <t xml:space="preserve"> Hyvä &gt;28, Tyydyttävä 18-28 ja Heikko 5-18
Tunnusluvun kriittinen arvo on 18.</t>
        </r>
      </text>
    </comment>
    <comment ref="D45" authorId="0" shapeId="0" xr:uid="{E478A35A-0912-4272-A105-E90195D874EF}">
      <text>
        <r>
          <rPr>
            <b/>
            <sz val="9"/>
            <color indexed="81"/>
            <rFont val="Tahoma"/>
            <family val="2"/>
          </rPr>
          <t>Laaksonen Aki:</t>
        </r>
        <r>
          <rPr>
            <sz val="9"/>
            <color indexed="81"/>
            <rFont val="Tahoma"/>
            <family val="2"/>
          </rPr>
          <t xml:space="preserve">
</t>
        </r>
        <r>
          <rPr>
            <b/>
            <u/>
            <sz val="9"/>
            <color indexed="81"/>
            <rFont val="Tahoma"/>
            <family val="2"/>
          </rPr>
          <t>Vaihto-omaisuus/liikevaihto (%):</t>
        </r>
        <r>
          <rPr>
            <sz val="9"/>
            <color indexed="81"/>
            <rFont val="Tahoma"/>
            <family val="2"/>
          </rPr>
          <t xml:space="preserve">
Luku ilmoittaa, kuinka suuri osuus (%) liikevaihdosta on sidottuna varastoon.
Laskukaava: 
100 * (vaihto-omaisuus / liikevaihto (12 kk))
</t>
        </r>
      </text>
    </comment>
    <comment ref="H45" authorId="0" shapeId="0" xr:uid="{CF28E366-0DC7-4E0A-844B-A3FEF2A77DB9}">
      <text>
        <r>
          <rPr>
            <b/>
            <sz val="9"/>
            <color indexed="81"/>
            <rFont val="Tahoma"/>
            <family val="2"/>
          </rPr>
          <t>Laaksonen Aki:</t>
        </r>
        <r>
          <rPr>
            <sz val="9"/>
            <color indexed="81"/>
            <rFont val="Tahoma"/>
            <family val="2"/>
          </rPr>
          <t xml:space="preserve">
</t>
        </r>
        <r>
          <rPr>
            <b/>
            <u/>
            <sz val="9"/>
            <color indexed="81"/>
            <rFont val="Tahoma"/>
            <family val="2"/>
          </rPr>
          <t>Vaihto-omaisuus / liikevaihto (%):</t>
        </r>
        <r>
          <rPr>
            <sz val="9"/>
            <color indexed="81"/>
            <rFont val="Tahoma"/>
            <family val="2"/>
          </rPr>
          <t xml:space="preserve">
Solun luku on toteutuneen tilikauden mukainen. Jos ennustevuosina ostetaan liiketoimintaa tai aloitetaan uutta liiketoiminta, on luku syytä tarkistaa esimerkiksi Yritystulkin tilastoista, kohdasta rahoitus -&gt; tilastot. 
</t>
        </r>
        <r>
          <rPr>
            <b/>
            <sz val="9"/>
            <color indexed="81"/>
            <rFont val="Tahoma"/>
            <family val="2"/>
          </rPr>
          <t xml:space="preserve">
Mitä luku tarkoittaa?</t>
        </r>
        <r>
          <rPr>
            <sz val="9"/>
            <color indexed="81"/>
            <rFont val="Tahoma"/>
            <family val="2"/>
          </rPr>
          <t xml:space="preserve">
9 % = vaihto-omaisuuden arvo kuukauden liikevaihdon verran
25 % = vaihto-omaisuuden arvo 3 kuukauden liikevaihdon verran</t>
        </r>
      </text>
    </comment>
    <comment ref="M46" authorId="0" shapeId="0" xr:uid="{D6CE01D4-864C-48AC-AE05-B5A6D9B92A45}">
      <text>
        <r>
          <rPr>
            <b/>
            <sz val="9"/>
            <color indexed="81"/>
            <rFont val="Tahoma"/>
            <family val="2"/>
          </rPr>
          <t>Laaksonen Aki:</t>
        </r>
        <r>
          <rPr>
            <sz val="9"/>
            <color indexed="81"/>
            <rFont val="Tahoma"/>
            <family val="2"/>
          </rPr>
          <t xml:space="preserve">
</t>
        </r>
        <r>
          <rPr>
            <b/>
            <u/>
            <sz val="9"/>
            <color indexed="81"/>
            <rFont val="Tahoma"/>
            <family val="2"/>
          </rPr>
          <t>Pankkitilin saldo:</t>
        </r>
        <r>
          <rPr>
            <sz val="9"/>
            <color indexed="81"/>
            <rFont val="Tahoma"/>
            <family val="2"/>
          </rPr>
          <t xml:space="preserve">
Toiminimi: tilillä olevat rahat vähennetään varoista.</t>
        </r>
      </text>
    </comment>
    <comment ref="D47" authorId="0" shapeId="0" xr:uid="{B1A3D7C7-B61B-4EC7-AF50-9E16BE87DB18}">
      <text>
        <r>
          <rPr>
            <b/>
            <sz val="9"/>
            <color indexed="81"/>
            <rFont val="Tahoma"/>
            <family val="2"/>
          </rPr>
          <t>Laaksonen Aki:</t>
        </r>
        <r>
          <rPr>
            <sz val="9"/>
            <color indexed="81"/>
            <rFont val="Tahoma"/>
            <family val="2"/>
          </rPr>
          <t xml:space="preserve">
</t>
        </r>
        <r>
          <rPr>
            <b/>
            <u/>
            <sz val="9"/>
            <color indexed="81"/>
            <rFont val="Tahoma"/>
            <family val="2"/>
          </rPr>
          <t>Myyntisaamisten kiertonopeus (pv):</t>
        </r>
        <r>
          <rPr>
            <sz val="9"/>
            <color indexed="81"/>
            <rFont val="Tahoma"/>
            <family val="2"/>
          </rPr>
          <t xml:space="preserve">
Luku kertoo, kuinka nopeasti asiakas maksaa laskunsa.
Laskukaava:
(myyntisaatavat / liikevaihto) x 365
</t>
        </r>
      </text>
    </comment>
    <comment ref="H47" authorId="0" shapeId="0" xr:uid="{0B1F1AB0-531C-4B88-B0EE-E6D322758D39}">
      <text>
        <r>
          <rPr>
            <b/>
            <sz val="9"/>
            <color indexed="81"/>
            <rFont val="Tahoma"/>
            <family val="2"/>
          </rPr>
          <t>Laaksonen Aki:</t>
        </r>
        <r>
          <rPr>
            <sz val="9"/>
            <color indexed="81"/>
            <rFont val="Tahoma"/>
            <family val="2"/>
          </rPr>
          <t xml:space="preserve">
</t>
        </r>
        <r>
          <rPr>
            <b/>
            <u/>
            <sz val="9"/>
            <color indexed="81"/>
            <rFont val="Tahoma"/>
            <family val="2"/>
          </rPr>
          <t>Myyntisaamisten kiertonopeus (pv):</t>
        </r>
        <r>
          <rPr>
            <sz val="9"/>
            <color indexed="81"/>
            <rFont val="Tahoma"/>
            <family val="2"/>
          </rPr>
          <t xml:space="preserve">
Kiertonopeus on nolla pv, jos myydään vain käteisellä.
Onko myyntisaamisten kiertonopeus todenmukainen?</t>
        </r>
      </text>
    </comment>
    <comment ref="M47" authorId="0" shapeId="0" xr:uid="{3DE9ACE9-2883-427E-98FE-CDA85781789A}">
      <text>
        <r>
          <rPr>
            <b/>
            <sz val="9"/>
            <color indexed="81"/>
            <rFont val="Tahoma"/>
            <family val="2"/>
          </rPr>
          <t>Laaksonen Aki:</t>
        </r>
        <r>
          <rPr>
            <sz val="9"/>
            <color indexed="81"/>
            <rFont val="Tahoma"/>
            <family val="2"/>
          </rPr>
          <t xml:space="preserve">
</t>
        </r>
        <r>
          <rPr>
            <b/>
            <u/>
            <sz val="9"/>
            <color indexed="81"/>
            <rFont val="Tahoma"/>
            <family val="2"/>
          </rPr>
          <t>Asunto:</t>
        </r>
        <r>
          <rPr>
            <sz val="9"/>
            <color indexed="81"/>
            <rFont val="Tahoma"/>
            <family val="2"/>
          </rPr>
          <t xml:space="preserve">
Ay, Ky ja Oy: Osakkaan/yhtiömiehen käytössä oleva yrityksen asunto vähennetään varoista.</t>
        </r>
      </text>
    </comment>
    <comment ref="M49" authorId="0" shapeId="0" xr:uid="{250EB03C-05BA-4F51-A730-90DAC619AEE3}">
      <text>
        <r>
          <rPr>
            <b/>
            <sz val="9"/>
            <color indexed="81"/>
            <rFont val="Tahoma"/>
            <family val="2"/>
          </rPr>
          <t>Laaksonen Aki:</t>
        </r>
        <r>
          <rPr>
            <sz val="9"/>
            <color indexed="81"/>
            <rFont val="Tahoma"/>
            <family val="2"/>
          </rPr>
          <t xml:space="preserve">
</t>
        </r>
        <r>
          <rPr>
            <b/>
            <u/>
            <sz val="9"/>
            <color indexed="81"/>
            <rFont val="Tahoma"/>
            <family val="2"/>
          </rPr>
          <t>Nostettava osinko / yksityisotot:</t>
        </r>
        <r>
          <rPr>
            <sz val="9"/>
            <color indexed="81"/>
            <rFont val="Tahoma"/>
            <family val="2"/>
          </rPr>
          <t xml:space="preserve">
Tämän rivin luvut siirtyvät viereisen taulukon soluihin H34 - K34 (kohta Osingonjako / yksityisotot).
</t>
        </r>
        <r>
          <rPr>
            <b/>
            <sz val="9"/>
            <color indexed="81"/>
            <rFont val="Tahoma"/>
            <family val="2"/>
          </rPr>
          <t>Osakeyhtiö</t>
        </r>
        <r>
          <rPr>
            <sz val="9"/>
            <color indexed="81"/>
            <rFont val="Tahoma"/>
            <family val="2"/>
          </rPr>
          <t xml:space="preserve">
Osinko laskettu matalasti verotetun 8 %:n mukaan. Tästä osingon määrästä osakkaalle 75 % on verovapaata ja lopusta 25 %:sta maksetaan pääomatulovero. (Listaamaton Oy, osinko alle 150 000 euroa.)
Tämä osinko kannattaisi aina maksaa.
Määrä lasketaan edellisen vuoden nettovarallisuuden mukaan.
</t>
        </r>
        <r>
          <rPr>
            <b/>
            <sz val="9"/>
            <color indexed="81"/>
            <rFont val="Tahoma"/>
            <family val="2"/>
          </rPr>
          <t>Toiminimi, Ky ja Ay</t>
        </r>
        <r>
          <rPr>
            <sz val="9"/>
            <color indexed="81"/>
            <rFont val="Tahoma"/>
            <family val="2"/>
          </rPr>
          <t xml:space="preserve">
Yksityisotot merkitään tähän.</t>
        </r>
      </text>
    </comment>
    <comment ref="D52" authorId="0" shapeId="0" xr:uid="{27C49873-98C0-4567-9C3C-EF13B71FC9D9}">
      <text>
        <r>
          <rPr>
            <b/>
            <sz val="9"/>
            <color indexed="81"/>
            <rFont val="Tahoma"/>
            <family val="2"/>
          </rPr>
          <t>Laaksonen Aki:</t>
        </r>
        <r>
          <rPr>
            <sz val="9"/>
            <color indexed="81"/>
            <rFont val="Tahoma"/>
            <family val="2"/>
          </rPr>
          <t xml:space="preserve">
</t>
        </r>
        <r>
          <rPr>
            <b/>
            <u/>
            <sz val="9"/>
            <color indexed="81"/>
            <rFont val="Tahoma"/>
            <family val="2"/>
          </rPr>
          <t>Ostovelkojen kiertonopeus (pv):</t>
        </r>
        <r>
          <rPr>
            <sz val="9"/>
            <color indexed="81"/>
            <rFont val="Tahoma"/>
            <family val="2"/>
          </rPr>
          <t xml:space="preserve">
Luku kertoo, kuinka nopeasti yrityksenne maksaa laskunsa.
Laskukaava:
(ostovelat / tilikauden ostot) x 365
</t>
        </r>
      </text>
    </comment>
    <comment ref="H52" authorId="0" shapeId="0" xr:uid="{A824EAFF-AD3E-4F56-9B34-973FCB7470DD}">
      <text>
        <r>
          <rPr>
            <b/>
            <sz val="9"/>
            <color indexed="81"/>
            <rFont val="Tahoma"/>
            <family val="2"/>
          </rPr>
          <t>Laaksonen Aki:</t>
        </r>
        <r>
          <rPr>
            <sz val="9"/>
            <color indexed="81"/>
            <rFont val="Tahoma"/>
            <family val="2"/>
          </rPr>
          <t xml:space="preserve">
</t>
        </r>
        <r>
          <rPr>
            <b/>
            <u/>
            <sz val="9"/>
            <color indexed="81"/>
            <rFont val="Tahoma"/>
            <family val="2"/>
          </rPr>
          <t>Ostovelkojen kiertonopeus (pv):</t>
        </r>
        <r>
          <rPr>
            <sz val="9"/>
            <color indexed="81"/>
            <rFont val="Tahoma"/>
            <family val="2"/>
          </rPr>
          <t xml:space="preserve">
Kiertonopeus on nolla pv, jos maksetaan ostettaessa.
Onko ostovelkojen kiertonopeus todenmukainen?</t>
        </r>
      </text>
    </comment>
    <comment ref="M70" authorId="0" shapeId="0" xr:uid="{B06B5B10-7A1B-450C-847C-8516D3D4ED6D}">
      <text>
        <r>
          <rPr>
            <b/>
            <sz val="9"/>
            <color indexed="81"/>
            <rFont val="Tahoma"/>
            <family val="2"/>
          </rPr>
          <t>Laaksonen Aki:</t>
        </r>
        <r>
          <rPr>
            <sz val="9"/>
            <color indexed="81"/>
            <rFont val="Tahoma"/>
            <family val="2"/>
          </rPr>
          <t xml:space="preserve">
</t>
        </r>
        <r>
          <rPr>
            <b/>
            <u/>
            <sz val="9"/>
            <color indexed="81"/>
            <rFont val="Tahoma"/>
            <family val="2"/>
          </rPr>
          <t>Nettotulos:</t>
        </r>
        <r>
          <rPr>
            <sz val="9"/>
            <color indexed="81"/>
            <rFont val="Tahoma"/>
            <family val="2"/>
          </rPr>
          <t xml:space="preserve">
= Liiketulos (EBIT) + rahoitustuotot - rahoituskulut - verot</t>
        </r>
      </text>
    </comment>
    <comment ref="M88" authorId="0" shapeId="0" xr:uid="{B02CF86F-03D2-4E2D-9953-9A8AC0773D69}">
      <text>
        <r>
          <rPr>
            <b/>
            <sz val="9"/>
            <color indexed="81"/>
            <rFont val="Tahoma"/>
            <family val="2"/>
          </rPr>
          <t>Laaksonen Aki:</t>
        </r>
        <r>
          <rPr>
            <sz val="9"/>
            <color indexed="81"/>
            <rFont val="Tahoma"/>
            <family val="2"/>
          </rPr>
          <t xml:space="preserve">
</t>
        </r>
        <r>
          <rPr>
            <b/>
            <u/>
            <sz val="9"/>
            <color indexed="81"/>
            <rFont val="Tahoma"/>
            <family val="2"/>
          </rPr>
          <t>Korollinen vieras pääoma:</t>
        </r>
        <r>
          <rPr>
            <sz val="9"/>
            <color indexed="81"/>
            <rFont val="Tahoma"/>
            <family val="2"/>
          </rPr>
          <t xml:space="preserve">
= Pitkäaikainen vieras pääoma pl. Saadut ennakot + korolliset lyhytaikaiset velat + Muut korolliset sisäiset velat</t>
        </r>
      </text>
    </comment>
  </commentList>
</comments>
</file>

<file path=xl/sharedStrings.xml><?xml version="1.0" encoding="utf-8"?>
<sst xmlns="http://schemas.openxmlformats.org/spreadsheetml/2006/main" count="2568" uniqueCount="979">
  <si>
    <t>Muuttuvat kustannukset</t>
  </si>
  <si>
    <t>Kiinteät kustannukset</t>
  </si>
  <si>
    <t>Kustannus</t>
  </si>
  <si>
    <t>Valitse alasvetovalikosta…</t>
  </si>
  <si>
    <t>Elementti</t>
  </si>
  <si>
    <t>Kustannuslaji</t>
  </si>
  <si>
    <t>Toimitilakulut</t>
  </si>
  <si>
    <t>Toimitilavuokrat</t>
  </si>
  <si>
    <t>Sähkö ja kaasu</t>
  </si>
  <si>
    <t>Vesi ja jätevesi</t>
  </si>
  <si>
    <t>Kilometrikorvaukset</t>
  </si>
  <si>
    <t>Työsuoritteet</t>
  </si>
  <si>
    <t>Vuokrattu työvoima</t>
  </si>
  <si>
    <t>Alihankinta</t>
  </si>
  <si>
    <t>Muut ulkopuoliset palvelut</t>
  </si>
  <si>
    <t>Aineet, tarvikkeet ja tavarat</t>
  </si>
  <si>
    <t>Matkakulut</t>
  </si>
  <si>
    <t>Päivärahat</t>
  </si>
  <si>
    <t>Työssäoloajan normaalipalkat</t>
  </si>
  <si>
    <t>Lisät ja korvaukset</t>
  </si>
  <si>
    <t>Määrä</t>
  </si>
  <si>
    <t>Yksikkö</t>
  </si>
  <si>
    <t>h</t>
  </si>
  <si>
    <t>kpl</t>
  </si>
  <si>
    <t>km</t>
  </si>
  <si>
    <t>Yks.kustannus</t>
  </si>
  <si>
    <t>Kok.kustannus</t>
  </si>
  <si>
    <t>kg</t>
  </si>
  <si>
    <t>m</t>
  </si>
  <si>
    <t>Katetavoite-%</t>
  </si>
  <si>
    <t>Ajoneuvokulut</t>
  </si>
  <si>
    <t>Katetuotto</t>
  </si>
  <si>
    <t>Myyntihinta</t>
  </si>
  <si>
    <t>Verokanta</t>
  </si>
  <si>
    <t>Alv</t>
  </si>
  <si>
    <t>Hinnoittelupohja</t>
  </si>
  <si>
    <t>Kassaanmaksut</t>
  </si>
  <si>
    <t>Kassastamaksut</t>
  </si>
  <si>
    <t>Myynnit</t>
  </si>
  <si>
    <t>Total</t>
  </si>
  <si>
    <t>Paketin katetuotto-%</t>
  </si>
  <si>
    <t>Kuukausi</t>
  </si>
  <si>
    <t>tammikuu</t>
  </si>
  <si>
    <t>helmikuu</t>
  </si>
  <si>
    <t>maaliskuu</t>
  </si>
  <si>
    <t>huhtikuu</t>
  </si>
  <si>
    <t>toukokuu</t>
  </si>
  <si>
    <t>kesäkuu</t>
  </si>
  <si>
    <t>heinäkuu</t>
  </si>
  <si>
    <t>elokuu</t>
  </si>
  <si>
    <t>syyskuu</t>
  </si>
  <si>
    <t>lokakuu</t>
  </si>
  <si>
    <t>marraskuu</t>
  </si>
  <si>
    <t>joulukuu</t>
  </si>
  <si>
    <t>Paketti 1</t>
  </si>
  <si>
    <t>Myyntiennuste</t>
  </si>
  <si>
    <t>Kassaanmaksut yhteensä</t>
  </si>
  <si>
    <t>Paketti 2</t>
  </si>
  <si>
    <t>Paketti 3</t>
  </si>
  <si>
    <t>Paketti 4</t>
  </si>
  <si>
    <t>Paketti 5</t>
  </si>
  <si>
    <t>Palvelu</t>
  </si>
  <si>
    <t>Hinta</t>
  </si>
  <si>
    <t>Kassavirtalaskelma</t>
  </si>
  <si>
    <t>Tuotekortti</t>
  </si>
  <si>
    <t>Muuttuvat kustannukset:</t>
  </si>
  <si>
    <t>Kiinteät kustannukset:</t>
  </si>
  <si>
    <t>Korkokulut</t>
  </si>
  <si>
    <t>Rahoituskulut</t>
  </si>
  <si>
    <t>Tuloverot</t>
  </si>
  <si>
    <t>Verot:</t>
  </si>
  <si>
    <t>Korko- ja rahoituskulut:</t>
  </si>
  <si>
    <t>Hallintokulut</t>
  </si>
  <si>
    <t>Markkinointikulut</t>
  </si>
  <si>
    <t>Vakuutukset</t>
  </si>
  <si>
    <t>Ajoneuvoleasing</t>
  </si>
  <si>
    <t>Myyntikulut</t>
  </si>
  <si>
    <t>Kuvaus:</t>
  </si>
  <si>
    <t>Kirjoita tähän tuotteen/palvelun kuvaus…</t>
  </si>
  <si>
    <t>Kirjoita tähän tuotteen nimi…</t>
  </si>
  <si>
    <t>Tuotteen nimi:</t>
  </si>
  <si>
    <t>Kulu</t>
  </si>
  <si>
    <t>Alkusaldo</t>
  </si>
  <si>
    <t>Yhteensä</t>
  </si>
  <si>
    <t>Katetuotto ja hinnoittelu</t>
  </si>
  <si>
    <t>Kustannukset</t>
  </si>
  <si>
    <t>€/Yks.</t>
  </si>
  <si>
    <t>Katetavoite</t>
  </si>
  <si>
    <t>alv 0</t>
  </si>
  <si>
    <t>Arvonlisävero</t>
  </si>
  <si>
    <t>alv</t>
  </si>
  <si>
    <t>sis. alv</t>
  </si>
  <si>
    <t>Sosiaalinen media</t>
  </si>
  <si>
    <t>Radio</t>
  </si>
  <si>
    <t>TV</t>
  </si>
  <si>
    <t>Verkkomainonta</t>
  </si>
  <si>
    <t>Lehtimainonta</t>
  </si>
  <si>
    <t>Hakukonemainonta</t>
  </si>
  <si>
    <t>Suoramainonta</t>
  </si>
  <si>
    <t>Kotisivut</t>
  </si>
  <si>
    <t>Ulkomainonta</t>
  </si>
  <si>
    <t>Messut</t>
  </si>
  <si>
    <t>Sponsorointi/yhteistyö</t>
  </si>
  <si>
    <t>Mainos-/mediatoimisto</t>
  </si>
  <si>
    <t>Eläkekulut</t>
  </si>
  <si>
    <t xml:space="preserve">							Tilikauden aikainen jaksotus</t>
  </si>
  <si>
    <t xml:space="preserve">							Eläkevakuutusmaksut</t>
  </si>
  <si>
    <t xml:space="preserve">							YEL-maksut</t>
  </si>
  <si>
    <t xml:space="preserve">							Vapaaehtoiset eläkevakuutusmaksut</t>
  </si>
  <si>
    <t xml:space="preserve">							TyEL-maksut</t>
  </si>
  <si>
    <t xml:space="preserve">							Maksetut eläkkeet</t>
  </si>
  <si>
    <t>Muut henkilösivukulut</t>
  </si>
  <si>
    <t xml:space="preserve">							Sairasvakuutusmaksut</t>
  </si>
  <si>
    <t xml:space="preserve">							Tapaturmavakuutusmaksut</t>
  </si>
  <si>
    <t xml:space="preserve">							Muut henkilöstön vakuutusmaksut</t>
  </si>
  <si>
    <t xml:space="preserve">							Työttömyysvakuutusmaksut</t>
  </si>
  <si>
    <t xml:space="preserve">							Pakolliset vakuutusmaksut</t>
  </si>
  <si>
    <t xml:space="preserve">							Ryhmähenkivakuutusmaksut</t>
  </si>
  <si>
    <t xml:space="preserve">							Varastovuokrat</t>
  </si>
  <si>
    <t xml:space="preserve">							Toimitilojen lämmitys</t>
  </si>
  <si>
    <t xml:space="preserve">							Autotalli- ja autopaikkavuokrat</t>
  </si>
  <si>
    <t xml:space="preserve">							Toimitilakulut</t>
  </si>
  <si>
    <t xml:space="preserve">							Toimitilavuokrat</t>
  </si>
  <si>
    <t xml:space="preserve">							Sähkö ja kaasu</t>
  </si>
  <si>
    <t xml:space="preserve">							Vesi ja jätevesi</t>
  </si>
  <si>
    <t xml:space="preserve">							Ajoneuvoleasing</t>
  </si>
  <si>
    <t xml:space="preserve">							Ajoneuvokulut</t>
  </si>
  <si>
    <t xml:space="preserve">							Palkkojen jaksotus</t>
  </si>
  <si>
    <t xml:space="preserve">							Loma-ajan ja sosiaalipalkat</t>
  </si>
  <si>
    <t xml:space="preserve">							Lomapalkkojen jaksotus</t>
  </si>
  <si>
    <t xml:space="preserve">							Työssäoloajan normaalipalkat</t>
  </si>
  <si>
    <t xml:space="preserve">							Palkkiot</t>
  </si>
  <si>
    <t xml:space="preserve">							Saadut korvaukset palkoista</t>
  </si>
  <si>
    <t xml:space="preserve">							Luontoisedut</t>
  </si>
  <si>
    <t xml:space="preserve">							Lisät ja korvaukset</t>
  </si>
  <si>
    <t>Työntekijöiden palkat ja palkkiot</t>
  </si>
  <si>
    <t xml:space="preserve">			Johdon palkat ja palkkiot</t>
  </si>
  <si>
    <t xml:space="preserve">							Saadut korvaukset johdon palkoista</t>
  </si>
  <si>
    <t xml:space="preserve">							Johdon palkat ja palkkiot</t>
  </si>
  <si>
    <t xml:space="preserve">							Johdon luontoisedut</t>
  </si>
  <si>
    <t xml:space="preserve">		Atk-laite ja -ohjelmakulut</t>
  </si>
  <si>
    <t xml:space="preserve">							Atk-laite ja -ohjelmakulut</t>
  </si>
  <si>
    <t xml:space="preserve">							Atk-laite ja -ohjelmistoleasing</t>
  </si>
  <si>
    <t xml:space="preserve">		Kone- ja kalustokulut</t>
  </si>
  <si>
    <t xml:space="preserve">							Kone- ja kalustovuokrat</t>
  </si>
  <si>
    <t xml:space="preserve">							Kone- ja kalustoleasing</t>
  </si>
  <si>
    <t xml:space="preserve">							Kone- ja kalustokulut</t>
  </si>
  <si>
    <t xml:space="preserve">		Muut hallintokulut</t>
  </si>
  <si>
    <t xml:space="preserve">							Vakuutukset ja vahingonkorvaukset</t>
  </si>
  <si>
    <t xml:space="preserve">							Puhelin- ja tietoliikennekulut</t>
  </si>
  <si>
    <t xml:space="preserve">							Muut hallintokulut</t>
  </si>
  <si>
    <t xml:space="preserve">							Jäsenmaksut</t>
  </si>
  <si>
    <t xml:space="preserve">							Kulujen selvittelytili</t>
  </si>
  <si>
    <t xml:space="preserve">							Toimisto- ja neuvottelukulut</t>
  </si>
  <si>
    <t xml:space="preserve">							Rahaliikenteen kulut</t>
  </si>
  <si>
    <t>Kaikki yhteensä</t>
  </si>
  <si>
    <t>Katetuottoajattelu</t>
  </si>
  <si>
    <t>€</t>
  </si>
  <si>
    <t>€/p.a.</t>
  </si>
  <si>
    <t>Breakeven</t>
  </si>
  <si>
    <t>Tiedot</t>
  </si>
  <si>
    <t>Laina</t>
  </si>
  <si>
    <t>Lainan korko-%</t>
  </si>
  <si>
    <t>Korko</t>
  </si>
  <si>
    <t>Takaisinmaksuaika</t>
  </si>
  <si>
    <t>Lainan takaisinmaksu</t>
  </si>
  <si>
    <t>Korkokulu</t>
  </si>
  <si>
    <t>vuotta</t>
  </si>
  <si>
    <t>€/kk</t>
  </si>
  <si>
    <t>Keskiostos</t>
  </si>
  <si>
    <t>Katetuotto-%</t>
  </si>
  <si>
    <t>Volyymi</t>
  </si>
  <si>
    <t>€/kpl</t>
  </si>
  <si>
    <t>Laskuri</t>
  </si>
  <si>
    <t>Myyntituotot</t>
  </si>
  <si>
    <t>Voitto</t>
  </si>
  <si>
    <t>Indikaattorit</t>
  </si>
  <si>
    <t>Varmuusmarginaali</t>
  </si>
  <si>
    <t>Herkkyysanalyysi</t>
  </si>
  <si>
    <t>Huom: Muuta sinisellä fontilla herkkyysanalyysissa olevat arvot vastaamaan laskelman lukuja.</t>
  </si>
  <si>
    <t>Majoitus</t>
  </si>
  <si>
    <t>Kuljetukset</t>
  </si>
  <si>
    <t>Opastus</t>
  </si>
  <si>
    <t>Ruokailu</t>
  </si>
  <si>
    <t>ROCE</t>
  </si>
  <si>
    <t>Valuaatio</t>
  </si>
  <si>
    <t>Hyötyasteen allokointi tuotteille (kikut)</t>
  </si>
  <si>
    <t>Assets-in-place</t>
  </si>
  <si>
    <t>Ostopalvelut</t>
  </si>
  <si>
    <t>Oheistapahtumat</t>
  </si>
  <si>
    <t>Riittävätkö luvat palvelun tarjoamiseen?</t>
  </si>
  <si>
    <t>Aluearvio</t>
  </si>
  <si>
    <t>Investointi</t>
  </si>
  <si>
    <t>Vuosikulu</t>
  </si>
  <si>
    <t>Käyttöikä</t>
  </si>
  <si>
    <t>Kapasiteetti</t>
  </si>
  <si>
    <t>vuosi</t>
  </si>
  <si>
    <t>€/vuosi</t>
  </si>
  <si>
    <t>KK-kulu</t>
  </si>
  <si>
    <t>Pv-kulu</t>
  </si>
  <si>
    <t>€/pv</t>
  </si>
  <si>
    <t>pv</t>
  </si>
  <si>
    <t>Infran osittaminen esim. metsästyskäyttöön</t>
  </si>
  <si>
    <t>Infran osittaminen käyttötarkoituksille</t>
  </si>
  <si>
    <t>--&gt; rahoituksen vaikutus (korot)</t>
  </si>
  <si>
    <t>* jfasköldjfaölsk</t>
  </si>
  <si>
    <t>investointilaskuri</t>
  </si>
  <si>
    <t>Liiketoiminnan muut tuotot</t>
  </si>
  <si>
    <t>Valmistus omaan käyttöön</t>
  </si>
  <si>
    <t>Aineet, tarvikkeet ja tavarat, ostot</t>
  </si>
  <si>
    <t>Ulkopuoliset palvelut</t>
  </si>
  <si>
    <t>Henkilöstökulut</t>
  </si>
  <si>
    <t>Liiketoiminnan muut kulut</t>
  </si>
  <si>
    <t>Vaihto-omaisuuden lisäys/vähennys</t>
  </si>
  <si>
    <t>Suunnitelman mukaiset poistot</t>
  </si>
  <si>
    <t>LIIKEVAIHTO</t>
  </si>
  <si>
    <t>Tuotot osuuksista ja muista sijoituksista</t>
  </si>
  <si>
    <t>Korko- ja rahoitustuotot</t>
  </si>
  <si>
    <t>Korko- ja rahoituskulut</t>
  </si>
  <si>
    <t>LIIKETOIMINNAN TUOTOT YHTEENSÄ</t>
  </si>
  <si>
    <t>LIIKETULOS (EBIT)</t>
  </si>
  <si>
    <t>VOITTO (TAPPIO) ENNEN TILINPÄÄTÖSSIIRTOJA JA VEROJA</t>
  </si>
  <si>
    <t>+</t>
  </si>
  <si>
    <t>-</t>
  </si>
  <si>
    <t>+/-</t>
  </si>
  <si>
    <t>Tuloveroprosentti (%)</t>
  </si>
  <si>
    <t>Poistoeron lisäys/vähennys</t>
  </si>
  <si>
    <t>-/+</t>
  </si>
  <si>
    <t>Veroperusteisten varausten lisäys/vähennys</t>
  </si>
  <si>
    <t>TILIKAUDEN VOITTO/TAPPIO</t>
  </si>
  <si>
    <t>A. PYSYVÄT VASTAAVAT</t>
  </si>
  <si>
    <t>I. Aineettomat hyödykkeet</t>
  </si>
  <si>
    <t>II. Aineelliset hyödykkeet</t>
  </si>
  <si>
    <t>1. Maa- ja vesialueet</t>
  </si>
  <si>
    <t>2. Rakennukset ja rakennelmat</t>
  </si>
  <si>
    <t>3. Koneet ja kalusto</t>
  </si>
  <si>
    <t>4. Muut aineelliset hyödykkeet</t>
  </si>
  <si>
    <t>III. Sijoitukset</t>
  </si>
  <si>
    <t>Vuosipoisto</t>
  </si>
  <si>
    <t>B. VAIHTUVAT VASTAAVAT</t>
  </si>
  <si>
    <t>I. Vaihto-omaisuus</t>
  </si>
  <si>
    <t>II. Saamiset</t>
  </si>
  <si>
    <t>Vaihto-omaisuus/liikevaihto (%)</t>
  </si>
  <si>
    <t>1. Myyntisaamiset</t>
  </si>
  <si>
    <t>2. Osatuloutuksen saamiset</t>
  </si>
  <si>
    <t>3. Muut saamiset</t>
  </si>
  <si>
    <t>4. Siirtosaamiset</t>
  </si>
  <si>
    <t>III. Rahoitusarvopaperit</t>
  </si>
  <si>
    <t>IV. Rahat ja pankkisaamiset</t>
  </si>
  <si>
    <t>Myyntisaamisten kiertonopeus (pv)</t>
  </si>
  <si>
    <t>VASTAAVAA YHTEENSÄ</t>
  </si>
  <si>
    <t>C. OMA PÄÄOMA</t>
  </si>
  <si>
    <t>2. Edellisten tilikausien voitot</t>
  </si>
  <si>
    <t>3. Osingonjako, yksityisotot</t>
  </si>
  <si>
    <t>1. Osakepääoma tms.</t>
  </si>
  <si>
    <t>4. Tilikauden voitto/tappio</t>
  </si>
  <si>
    <t>D. TILINPÄÄTÖSSIIRTOJEN KERTYMÄ</t>
  </si>
  <si>
    <t>1. Poistoero</t>
  </si>
  <si>
    <t>2. Verotusperusteiset varaukset</t>
  </si>
  <si>
    <t>E. PAKOLLISET VARAUKSET</t>
  </si>
  <si>
    <t>F. PITKÄAIKAINEN VIERAS PÄÄOMA</t>
  </si>
  <si>
    <t>1. Lainat rahoituslaitoksilta</t>
  </si>
  <si>
    <t>2. Pääomalainat</t>
  </si>
  <si>
    <t>3. Ostovelat</t>
  </si>
  <si>
    <t>- pääomalainan akordi</t>
  </si>
  <si>
    <t>4. Muut pitkäaikaiset velat</t>
  </si>
  <si>
    <t>G. LYHYTAIKAINEN VIERAS PÄÄOMA</t>
  </si>
  <si>
    <t>4. Muut lyhytaikaiset velat</t>
  </si>
  <si>
    <t>Ostovelkojen kiertonopeus (pv)</t>
  </si>
  <si>
    <t>Arvonlisäverovelan määrä liikevaihdosta (%)</t>
  </si>
  <si>
    <t>5. Siirtovelat</t>
  </si>
  <si>
    <t>Eläke- ja sivukuluvelka lomapalkkavelasta (%)</t>
  </si>
  <si>
    <t>6. Saadut ennakot</t>
  </si>
  <si>
    <t>VASTATTAVAA YHTEENSÄ</t>
  </si>
  <si>
    <t>RAHAN LÄHTEET</t>
  </si>
  <si>
    <t>1.</t>
  </si>
  <si>
    <t>2.</t>
  </si>
  <si>
    <t>3.</t>
  </si>
  <si>
    <t>4.</t>
  </si>
  <si>
    <t>5.</t>
  </si>
  <si>
    <t>Rahoitustulos</t>
  </si>
  <si>
    <t>Omistajien lisäsijoitukset</t>
  </si>
  <si>
    <t>Pitkäaikaisten lainojen ja ostovelkojen lisäys</t>
  </si>
  <si>
    <t>Osamaksuvelkojen lisäys</t>
  </si>
  <si>
    <t>Lyhytaikaisten lainojen lisäys</t>
  </si>
  <si>
    <t>6.</t>
  </si>
  <si>
    <t>7.</t>
  </si>
  <si>
    <t>YHTEENSÄ</t>
  </si>
  <si>
    <t>RAHAN KÄYTTÖ</t>
  </si>
  <si>
    <t>8.</t>
  </si>
  <si>
    <t>9.</t>
  </si>
  <si>
    <t>10.</t>
  </si>
  <si>
    <t>11.</t>
  </si>
  <si>
    <t>Maa-alueet</t>
  </si>
  <si>
    <t>Rakennukset ja rakennelmat</t>
  </si>
  <si>
    <t>Koneet ja kalusto</t>
  </si>
  <si>
    <t>Muut investoinnit</t>
  </si>
  <si>
    <t>12.</t>
  </si>
  <si>
    <t>Käyttöpääoman muutos</t>
  </si>
  <si>
    <t>13.</t>
  </si>
  <si>
    <t>14.</t>
  </si>
  <si>
    <t>15.</t>
  </si>
  <si>
    <t>16.</t>
  </si>
  <si>
    <t>17.</t>
  </si>
  <si>
    <t>18.</t>
  </si>
  <si>
    <t>19.</t>
  </si>
  <si>
    <t>20.</t>
  </si>
  <si>
    <t>21.</t>
  </si>
  <si>
    <t>22.</t>
  </si>
  <si>
    <t>23.</t>
  </si>
  <si>
    <t>24.</t>
  </si>
  <si>
    <t>25.</t>
  </si>
  <si>
    <t>26.</t>
  </si>
  <si>
    <t>27.</t>
  </si>
  <si>
    <t>Muu rahoitusomaisuuden lisäys</t>
  </si>
  <si>
    <t>Pitkäaikaisten rahalaitoslainojen vähennys</t>
  </si>
  <si>
    <t>SVOP-palautukset</t>
  </si>
  <si>
    <t>Pääomalainojen vähennys</t>
  </si>
  <si>
    <t>Pitkäaikainen ostovelka, vähennys</t>
  </si>
  <si>
    <t>Muut pitkäaikaiset velat, vähennys</t>
  </si>
  <si>
    <t>Pitkäaikaisten lainojen lyhennyserämuutokset</t>
  </si>
  <si>
    <t>Osamaksuvelkojen vähennys</t>
  </si>
  <si>
    <t>Lyhytaikaisten lainojen vähennys</t>
  </si>
  <si>
    <t>Sijoitukset</t>
  </si>
  <si>
    <t>Kumulatiivinen yli-/alijäämä</t>
  </si>
  <si>
    <t>Yli-/alijäämä (7-25)</t>
  </si>
  <si>
    <t>Kassan riittävyys / Muut kiinteät kulut (pv)</t>
  </si>
  <si>
    <t>KÄYTTÖPÄÄOMA</t>
  </si>
  <si>
    <t>28.</t>
  </si>
  <si>
    <t>29.</t>
  </si>
  <si>
    <t>30.</t>
  </si>
  <si>
    <t>31.</t>
  </si>
  <si>
    <t>32.</t>
  </si>
  <si>
    <t>33.</t>
  </si>
  <si>
    <t>34.</t>
  </si>
  <si>
    <t>35.</t>
  </si>
  <si>
    <t>Vaihto-omaisuus</t>
  </si>
  <si>
    <t>Myyntisaamiset</t>
  </si>
  <si>
    <t>Muut saamiset</t>
  </si>
  <si>
    <t>Osatuloutusten saamiset</t>
  </si>
  <si>
    <t>Ostovelat</t>
  </si>
  <si>
    <t>Saadut ennakot</t>
  </si>
  <si>
    <t>Käyttöpääoma</t>
  </si>
  <si>
    <t>=</t>
  </si>
  <si>
    <t>LIIKETOIMINNAN LAAJUUS</t>
  </si>
  <si>
    <t>Liikevaihto</t>
  </si>
  <si>
    <t>Henkilöstön määrä</t>
  </si>
  <si>
    <t>LIIKETOIMINNAN KANNATTAVUUS</t>
  </si>
  <si>
    <t>Käyttökate (EBITDA)</t>
  </si>
  <si>
    <t>Käyttökate-%</t>
  </si>
  <si>
    <t>Liiketulos (EBIT)</t>
  </si>
  <si>
    <t>Liiketulos-%</t>
  </si>
  <si>
    <t>Arvosana</t>
  </si>
  <si>
    <t>Tilikauden voitto</t>
  </si>
  <si>
    <t>Tilikauden voitto-%</t>
  </si>
  <si>
    <t>Sijoitetun pääoman tuotto-% (ROI)</t>
  </si>
  <si>
    <t>Rahoitustulos-%</t>
  </si>
  <si>
    <t>MAKSUVALMIUS</t>
  </si>
  <si>
    <t>Quick ratio</t>
  </si>
  <si>
    <t>Current ratio</t>
  </si>
  <si>
    <t>Vieraan pääoman takaisinmaksuaika (vuotta)</t>
  </si>
  <si>
    <t>Lainojen hoitokate</t>
  </si>
  <si>
    <t>VAKAVARAISUUS</t>
  </si>
  <si>
    <t>Omavaraisuusaste</t>
  </si>
  <si>
    <t>Net Gearing (nettovelkaantumisaste)</t>
  </si>
  <si>
    <t>MUITA TUNNUSLUKUJA</t>
  </si>
  <si>
    <t>NETTOVARALLISUUSLASKELMA</t>
  </si>
  <si>
    <t>Varat</t>
  </si>
  <si>
    <t>Velat</t>
  </si>
  <si>
    <t>Pankkitilin saldo</t>
  </si>
  <si>
    <t>Nettovarallisuus</t>
  </si>
  <si>
    <t>Osingon/yksityisoton osuus nettovarallisuudesta</t>
  </si>
  <si>
    <t>Osingon/yksityisoton osuus tilikauden voitosta</t>
  </si>
  <si>
    <t>LIIKETOIMINNAN TULOT</t>
  </si>
  <si>
    <t>Myyntisaamiset edelliseltä tilikaudelta</t>
  </si>
  <si>
    <t>- myynnin kuukausijakauma</t>
  </si>
  <si>
    <t>Alv-%</t>
  </si>
  <si>
    <t>Käteismyynti, ennakkomaksut / myyntiosuus-%</t>
  </si>
  <si>
    <t>Laskutusmyynti</t>
  </si>
  <si>
    <t>- keskimääräinen maksuaika (päivää)</t>
  </si>
  <si>
    <t>Muut tuotot sis. alv (mm. liiketoiminnan muut tuotot, saneeraus)</t>
  </si>
  <si>
    <t>Muut tuotot alv 0 % (yritystuet, vakuutuskorvaukset yms.)</t>
  </si>
  <si>
    <t>LIIKETOIMINTA YHTEENSÄ</t>
  </si>
  <si>
    <t>LIIKETOIMINNAN MENOT</t>
  </si>
  <si>
    <t>Aineet ja tarvikkeet</t>
  </si>
  <si>
    <t>Ostovelat edelliseltä tilikaudelta, maksuaika (päivää)</t>
  </si>
  <si>
    <t>Investoinnit (sis. alv)</t>
  </si>
  <si>
    <t>Vuokrat ja vastikkeet (sis. alv)</t>
  </si>
  <si>
    <t>Ajoneuvojen leasing- ja vuokrakulut, liikekäyttö</t>
  </si>
  <si>
    <t>Muut kiinteät kulut (sis. alv)</t>
  </si>
  <si>
    <t>Maksettava arvonlisävero</t>
  </si>
  <si>
    <t>Nettopalkat</t>
  </si>
  <si>
    <t>Ennakonpidätykset ja työnantajan sairausvakuutusmaksu</t>
  </si>
  <si>
    <t>YEL-eläkemaksut ja tapaturmavakuutusmaksu</t>
  </si>
  <si>
    <t>TyEL-maksut, pakolliset työntekijävakuutusmaksut</t>
  </si>
  <si>
    <t>Vapaaehtoiset eläke- ja henkilövakuutusmaksut</t>
  </si>
  <si>
    <t>Vuokrat ja vastikkeet (alv 0 %)</t>
  </si>
  <si>
    <t>Muut kiinteät kulut (alv 0 %)</t>
  </si>
  <si>
    <t>Rahoitusmenot (lainojen korkokustannukset)</t>
  </si>
  <si>
    <t>Investoinnit (alv 0 %)</t>
  </si>
  <si>
    <t>Leasingvuokrat, ei alv-vähennystä</t>
  </si>
  <si>
    <t>Liikehuoneisto-osakkeiden hankinta, sijoitukset</t>
  </si>
  <si>
    <t>Erääntyneet ostovelat</t>
  </si>
  <si>
    <t>LIIKETOIMINNAN MENOT YHTEENSÄ</t>
  </si>
  <si>
    <t>PÄÄOMARAHOITUS: TULOT JA MENOT</t>
  </si>
  <si>
    <t>Osamaksujen kuukausierät</t>
  </si>
  <si>
    <t>Lainojen nostot ja osamaksujen lisäykset</t>
  </si>
  <si>
    <t>Lainojen lyhennykset</t>
  </si>
  <si>
    <t>Osingot, yksityiskäyttö</t>
  </si>
  <si>
    <t>Muu pääomarahoitus</t>
  </si>
  <si>
    <t>PÄÄOMARAHOITUS, NETTO</t>
  </si>
  <si>
    <t>TULOT - MENOT</t>
  </si>
  <si>
    <t>KUMULATIIVINEN KASSA KAUDEN LOPUSSA</t>
  </si>
  <si>
    <t>PÄÄOMANTARVE</t>
  </si>
  <si>
    <t>Maa-alueet ja vesialueet, liittymät yms.</t>
  </si>
  <si>
    <t>- pinta-ala (m2)</t>
  </si>
  <si>
    <t>- avustus-%</t>
  </si>
  <si>
    <t>Uudisrakennukset ja rakennelmat (sis. alv)</t>
  </si>
  <si>
    <t>- pinta-ala / tilavuus (m2 / m3)</t>
  </si>
  <si>
    <t>- arvonlisävero-%</t>
  </si>
  <si>
    <t>Koneet ja kalusto (sis. alv)</t>
  </si>
  <si>
    <t>Koneet ja kalusto (alv 0 %)</t>
  </si>
  <si>
    <t>Muut aineelliset hyödykkeet (sis. alv)</t>
  </si>
  <si>
    <t>Aineettomat hyödykkeet</t>
  </si>
  <si>
    <t>Käyttöpääoman lisäys</t>
  </si>
  <si>
    <t>Pääomantarve yhteensä</t>
  </si>
  <si>
    <t>RAHOITUS</t>
  </si>
  <si>
    <t>Oma rahoitus</t>
  </si>
  <si>
    <t>Osakepääoman muutos</t>
  </si>
  <si>
    <t>Sijoitus SVOP-rahastoon</t>
  </si>
  <si>
    <t>Tulorahoitus</t>
  </si>
  <si>
    <t>Pääomalaina</t>
  </si>
  <si>
    <t>Muu oma rahoitus</t>
  </si>
  <si>
    <t>Vieras rahoitus</t>
  </si>
  <si>
    <t>Luotonantaja</t>
  </si>
  <si>
    <t>Finnvera</t>
  </si>
  <si>
    <t>Pankki</t>
  </si>
  <si>
    <t>Osamaksurahoitus, eläkelaina tms.</t>
  </si>
  <si>
    <t>Leasingrahoitus: kohta 4. Koneet ja kalusto (sis. alv)</t>
  </si>
  <si>
    <t>Leasingrahoitus: kohta 5. Koneet ja kalusto (alv 0 %)</t>
  </si>
  <si>
    <t>Arvonlisäverovähennys</t>
  </si>
  <si>
    <t>Avustukset (kohdat 1-7), ei leasingin avustusta</t>
  </si>
  <si>
    <t>Rahoitus yhteensä</t>
  </si>
  <si>
    <t>Investoinnin aikaansaama liikevaihdon lisäys/vuosi</t>
  </si>
  <si>
    <t>Ennuste 2</t>
  </si>
  <si>
    <t>Ennuste 3</t>
  </si>
  <si>
    <t>Ennuste 4</t>
  </si>
  <si>
    <t>Ennuste 1</t>
  </si>
  <si>
    <t>1.1 YEL-yrittäjät</t>
  </si>
  <si>
    <t xml:space="preserve"> - YEL-yrittäjien kuukausipalkat brutto</t>
  </si>
  <si>
    <t xml:space="preserve"> - YEL-yrittäjien luontoisedut / kk</t>
  </si>
  <si>
    <t xml:space="preserve"> - palkanmaksukuukaudet</t>
  </si>
  <si>
    <t xml:space="preserve"> - YEL-yrittäjien keskimääräinen veronpidätys-%</t>
  </si>
  <si>
    <t>1.2 Tuntipalkkaiset työntekijät / TyEL-yrittäjät</t>
  </si>
  <si>
    <t xml:space="preserve"> - työtunnit / kk / henkilö, kuukausipalkka = luku on 1</t>
  </si>
  <si>
    <t xml:space="preserve"> - työntekijät, lukumäärä</t>
  </si>
  <si>
    <t xml:space="preserve"> - luontoisedut yhteensä vuodessa</t>
  </si>
  <si>
    <t xml:space="preserve"> - palkansaajaryhmän 1.2 keskim. veronpidätys-%</t>
  </si>
  <si>
    <t>1.3 Toimihenkilöt / TyEL-yrittäjät</t>
  </si>
  <si>
    <t xml:space="preserve"> - toimihenkilöidenpalkat keskimäärin / kk / henkilö</t>
  </si>
  <si>
    <t xml:space="preserve"> - toimihenkilöt, lukumäärä</t>
  </si>
  <si>
    <t xml:space="preserve"> - palkansaajaryhmän 1.3 keskim. veronpidätys-%</t>
  </si>
  <si>
    <t>1.4 Saadut vakuutusmaksukorvaukset</t>
  </si>
  <si>
    <t>HENKILÖSTÖSIVUKULUT</t>
  </si>
  <si>
    <t xml:space="preserve"> 2.1 Eläkekulut</t>
  </si>
  <si>
    <t xml:space="preserve"> - yritykseltä peritty TyEL-vakuutusmaksu</t>
  </si>
  <si>
    <t xml:space="preserve"> - työnantajan TyEL-vakuutusmaksut </t>
  </si>
  <si>
    <t xml:space="preserve"> - YEL-maksujen työtulo</t>
  </si>
  <si>
    <t xml:space="preserve"> - YEL-vakuutusmaksuprosentti</t>
  </si>
  <si>
    <t xml:space="preserve"> - YEL-vakuutusmaksut</t>
  </si>
  <si>
    <t xml:space="preserve"> - vapaaehtoiset eläkevakuutusmaksut</t>
  </si>
  <si>
    <t>2.2 Muut henkilösivukulut</t>
  </si>
  <si>
    <t xml:space="preserve"> - työnantajan pakolliset henkilövakuutusmaksut</t>
  </si>
  <si>
    <t>2.3 YEL-yrittäjien sosiaalivakuutusmaksut</t>
  </si>
  <si>
    <t>2.4 YEL-yrittäjien henkivakuutusmaksut</t>
  </si>
  <si>
    <t>2.5 Muut henkilövakuutusmaksut</t>
  </si>
  <si>
    <t>HENKILÖSTÖKULUT YHTEENSÄ</t>
  </si>
  <si>
    <t>LIIKETOIMINNAN MUUT KULUT</t>
  </si>
  <si>
    <t>3.1 Muut henkilöstökulut</t>
  </si>
  <si>
    <t xml:space="preserve"> - henkilökunnan koulutus</t>
  </si>
  <si>
    <t xml:space="preserve"> - virkistys- ja harrastustoiminta</t>
  </si>
  <si>
    <t xml:space="preserve"> - työterveyshuolto</t>
  </si>
  <si>
    <t xml:space="preserve"> - työvaatteet ja suojavälineet</t>
  </si>
  <si>
    <t xml:space="preserve"> - muut vapaaehtoiset henkilöstökulut</t>
  </si>
  <si>
    <t>3.2 Toimitilakustannukset</t>
  </si>
  <si>
    <t xml:space="preserve"> - vuokrat ja vastikkeet (liiketoimintaan)</t>
  </si>
  <si>
    <t xml:space="preserve"> - sähkö ja kaasu </t>
  </si>
  <si>
    <t xml:space="preserve"> - vesi ja jätevesi</t>
  </si>
  <si>
    <t xml:space="preserve"> - lämmitys</t>
  </si>
  <si>
    <t xml:space="preserve"> - puhtaanapito, ulkoalueiden hoito</t>
  </si>
  <si>
    <t xml:space="preserve"> - toimitilojen korjaus</t>
  </si>
  <si>
    <t xml:space="preserve"> - jätehuolto</t>
  </si>
  <si>
    <t xml:space="preserve"> - vartiointi, lukituspalvelut</t>
  </si>
  <si>
    <t xml:space="preserve"> - kiinteistövakuutukset</t>
  </si>
  <si>
    <t xml:space="preserve"> - kiinteistövero, muut kulut</t>
  </si>
  <si>
    <t>3.3. Ajoneuvokulut, liikekäyttö</t>
  </si>
  <si>
    <t xml:space="preserve"> - leasing- ja vuokrakulut</t>
  </si>
  <si>
    <t xml:space="preserve"> - polttoaine</t>
  </si>
  <si>
    <t xml:space="preserve"> - huolto, korjaus ja katsastus</t>
  </si>
  <si>
    <t xml:space="preserve"> - vakuutukset ja käyttömaksut</t>
  </si>
  <si>
    <t xml:space="preserve"> - muut ajoneuvokulut</t>
  </si>
  <si>
    <t>3.4. Atk-laite ja -ohjelmakulut</t>
  </si>
  <si>
    <t xml:space="preserve"> - laite- ja ohjelmavuokrat ja leasingit</t>
  </si>
  <si>
    <t xml:space="preserve"> - ohjelmat, päivitykset ja ylläpito</t>
  </si>
  <si>
    <t xml:space="preserve"> - atk-laitehankinnat käyttöaika alle 3 vuotta </t>
  </si>
  <si>
    <t xml:space="preserve"> - muut atk-kulut</t>
  </si>
  <si>
    <t>3.5 Muut kone- ja kalustokulut, liikekäyttö</t>
  </si>
  <si>
    <t xml:space="preserve"> - laite- ja kalustovuokrat, leasingvuokrat</t>
  </si>
  <si>
    <t xml:space="preserve"> - huolto ja korjaus</t>
  </si>
  <si>
    <t xml:space="preserve"> - pien- ja laitehankinnat käyttöikä alle 3 vuotta</t>
  </si>
  <si>
    <t xml:space="preserve"> - muut kone- ja kalustokulut</t>
  </si>
  <si>
    <t>3.6 Matkakulut</t>
  </si>
  <si>
    <t xml:space="preserve"> - matkaliput ja majoituskulut</t>
  </si>
  <si>
    <t xml:space="preserve"> - ruokailu matkalla</t>
  </si>
  <si>
    <t xml:space="preserve"> - muut matkakulut</t>
  </si>
  <si>
    <t>3.7 Matkakustannusten korvaukset</t>
  </si>
  <si>
    <t xml:space="preserve"> - päivärahat, ateriakorvaukset yms.</t>
  </si>
  <si>
    <t xml:space="preserve"> - kilometrikorvaukset</t>
  </si>
  <si>
    <t>3.8 Edustuskulut</t>
  </si>
  <si>
    <t>3.9 Myyntikulut (mm. palkkiot, provisiot)</t>
  </si>
  <si>
    <t>3.10 Markkinointikulut</t>
  </si>
  <si>
    <t xml:space="preserve"> - mainostoimistopalvelut</t>
  </si>
  <si>
    <t xml:space="preserve"> - suora- ja ilmoitusmainonta</t>
  </si>
  <si>
    <t xml:space="preserve"> - tv-, radio- ja internetmainonta</t>
  </si>
  <si>
    <t xml:space="preserve"> - messut, näyttelyt yms. myynninedistäminen</t>
  </si>
  <si>
    <t xml:space="preserve"> - muut markkinointikulut</t>
  </si>
  <si>
    <t xml:space="preserve">3.11 Tutkimus- ja tuotekehityskulut </t>
  </si>
  <si>
    <t xml:space="preserve"> - tuotekehitys- ja testauspalvelut</t>
  </si>
  <si>
    <t xml:space="preserve"> - tuotesuojauksen viranomaismaksut</t>
  </si>
  <si>
    <t xml:space="preserve"> - sertifiointi ja laatutodistukset</t>
  </si>
  <si>
    <t xml:space="preserve"> - muut kehityskulut</t>
  </si>
  <si>
    <t xml:space="preserve">3.12 Hallintopalvelut </t>
  </si>
  <si>
    <t xml:space="preserve"> - vuokratyövoima</t>
  </si>
  <si>
    <t xml:space="preserve"> - taloushallintopalvelut, tilintarkastus</t>
  </si>
  <si>
    <t xml:space="preserve"> - laki-, perintä- ja konsultointipalvelut</t>
  </si>
  <si>
    <t xml:space="preserve"> - viranomaismaksut - ja luvat</t>
  </si>
  <si>
    <t xml:space="preserve">3.13 Tiedonhankinta </t>
  </si>
  <si>
    <t xml:space="preserve"> - kirjat </t>
  </si>
  <si>
    <t xml:space="preserve"> - tilatut lehdet</t>
  </si>
  <si>
    <t xml:space="preserve"> - jäsenmaksut</t>
  </si>
  <si>
    <t>3.14 Tieto- ja rahaliikenne</t>
  </si>
  <si>
    <t xml:space="preserve"> - puhelin- ja matkapuhelinkulut</t>
  </si>
  <si>
    <t xml:space="preserve"> - datasiirtokulut</t>
  </si>
  <si>
    <t xml:space="preserve"> - posti- ja lähettikulut</t>
  </si>
  <si>
    <t xml:space="preserve"> - rahaliikenteen kulut</t>
  </si>
  <si>
    <t>3.15 Vakuutukset ja vahingonkorvaukset</t>
  </si>
  <si>
    <t xml:space="preserve"> - vastuuvakuutukset, maksetut vahingonkorvaukset</t>
  </si>
  <si>
    <t xml:space="preserve"> - esinevakuutukset, konerikko yms.</t>
  </si>
  <si>
    <t xml:space="preserve"> - muut vakuutukset, keskeytysvakuutus</t>
  </si>
  <si>
    <t>3.16 Toimistotarvikkeet</t>
  </si>
  <si>
    <t>3.17 Kokous- ja neuvottelukulut</t>
  </si>
  <si>
    <t>3.18 Ajoneuvo- ja konekulut, yksityiskäyttö</t>
  </si>
  <si>
    <t xml:space="preserve">3.20 Ulkopuoliset palvelut sis. alv </t>
  </si>
  <si>
    <t>3.21 Vuokrat, vastikkeet, korjauskulut alv 0 %</t>
  </si>
  <si>
    <t>3.22 Muut alv-vähennyskelpoiset liikekulut</t>
  </si>
  <si>
    <t>3.23 Muut alv-vähennyskelvottomat liikekulut</t>
  </si>
  <si>
    <t>PALKAT JA PALKKIOT</t>
  </si>
  <si>
    <t>Hinnat (alv 0 %)</t>
  </si>
  <si>
    <t>HENKILÖSTÖ KESKIMÄÄRIN</t>
  </si>
  <si>
    <t>Euroa</t>
  </si>
  <si>
    <t>%</t>
  </si>
  <si>
    <t>Toteuma</t>
  </si>
  <si>
    <t>Tilikauden pituus (kuukautta)</t>
  </si>
  <si>
    <t>NYKYISET PITKÄAIKAISET LAINAT</t>
  </si>
  <si>
    <t>Nykyiset lainat yhteensä</t>
  </si>
  <si>
    <t>Nykyiset osamaksuvelat</t>
  </si>
  <si>
    <t>Lainamäärä viimeisessä tilinpäätöksessä</t>
  </si>
  <si>
    <t>Korko-%</t>
  </si>
  <si>
    <t>Lyhennys</t>
  </si>
  <si>
    <t>VUOSITTAIN MAKSETTAVAT LYHENNYKSET JA KOROT</t>
  </si>
  <si>
    <t>RAJAN LÄHTEET JA RAHAN KÄYTTÖ</t>
  </si>
  <si>
    <t>TUNNUSLUKUJA TALOUDESTA</t>
  </si>
  <si>
    <t>Asunto</t>
  </si>
  <si>
    <t>AINEKÄYTTÖ-% keskimäärin</t>
  </si>
  <si>
    <t>MYYNNIN ALV:N MÄÄRÄ yhteensä</t>
  </si>
  <si>
    <t>OSTOJEN ALV:N MÄÄRÄ yhteensä</t>
  </si>
  <si>
    <t>Tuote/palvelu</t>
  </si>
  <si>
    <t>Lv €</t>
  </si>
  <si>
    <t>Mallin antamien tulosten oikeellisuus ja vastuu tuloksista</t>
  </si>
  <si>
    <t>Käyttäjä tiedostaa, että malli voi sisältää virheitä ja mallin antamat tulokset ovat viitteellisiä ja suuntaa-antavia. Käyttäjä käyttää mallia ja tulkitsee tuloksia omalla vastuullaan.</t>
  </si>
  <si>
    <t>Investointi käytössä kuukausina tilikauden aikana</t>
  </si>
  <si>
    <t>VASTAAVAA</t>
  </si>
  <si>
    <t>VASTATTAVAA</t>
  </si>
  <si>
    <t>Liiketoiminnan muut tuotot, vuosimuutos-%</t>
  </si>
  <si>
    <t>KÄYTTÖKATE (EBITDA)</t>
  </si>
  <si>
    <t>Tilikauden pituus (kk)</t>
  </si>
  <si>
    <t>Vuosimuutos-%</t>
  </si>
  <si>
    <t>Leasingrahoituksen määrä</t>
  </si>
  <si>
    <t>Tarkastus (Pääomantarve - Rahoitus)</t>
  </si>
  <si>
    <t>8 Rahoitussuunnitelma</t>
  </si>
  <si>
    <t>6 Liikevaihto</t>
  </si>
  <si>
    <t>5 Kustannukset</t>
  </si>
  <si>
    <t>4 Lainat</t>
  </si>
  <si>
    <t>3 Tase</t>
  </si>
  <si>
    <t>1 Investointisuunnitelma</t>
  </si>
  <si>
    <t>9 Kassabudjetti</t>
  </si>
  <si>
    <t>Kriisitunnusluku Z (3 muuttujaa)</t>
  </si>
  <si>
    <t>Tämän rivin tiedot siirtyvät myöhemmin taulukosta 8 RAHOITUSSUUNNITELMA</t>
  </si>
  <si>
    <t>UUDET PITKÄAIKAISET LAINAT</t>
  </si>
  <si>
    <t>(ei pääomalainoja)</t>
  </si>
  <si>
    <t>1. vuonna nostettavat lainat</t>
  </si>
  <si>
    <t>Rahoittaja/rahoitettava kohde</t>
  </si>
  <si>
    <t>Nosto</t>
  </si>
  <si>
    <t>2. vuonna nostettavat lainat</t>
  </si>
  <si>
    <t>3. vuonna nostettavat lainat</t>
  </si>
  <si>
    <t>4. vuonna nostettavat lainat</t>
  </si>
  <si>
    <t>Lainamäärä</t>
  </si>
  <si>
    <t>Uudet lainat yhteensä</t>
  </si>
  <si>
    <t>UUDET OSAMAKSUVELAT</t>
  </si>
  <si>
    <t>Rahoittaja/rahoitettava kohde 1. vuosi</t>
  </si>
  <si>
    <t>Rahoittaja/rahoitettava kohde 2. vuosi</t>
  </si>
  <si>
    <t>Rahoittaja/rahoitettava kohde 3. vuosi</t>
  </si>
  <si>
    <t>Rahoittaja/rahoitettava kohde 4. vuosi</t>
  </si>
  <si>
    <t>Uudet osamaksuvelat yhteensä</t>
  </si>
  <si>
    <t>Lyhytaikaisten lainojen korot</t>
  </si>
  <si>
    <t>Pääomalainan korot</t>
  </si>
  <si>
    <t>Korot pitkäaikaisista veloista, ei velkakirjaa</t>
  </si>
  <si>
    <t>Lainojen toimitusmaksut, pankkitakausmaksut</t>
  </si>
  <si>
    <t>KAIKKI YHTEENSÄ</t>
  </si>
  <si>
    <t>Laina-aikaa jäljellä (vuotta)</t>
  </si>
  <si>
    <t>Luotollinen tili</t>
  </si>
  <si>
    <t>Laina-aika (vuotta)</t>
  </si>
  <si>
    <t>Luotonantaja:</t>
  </si>
  <si>
    <t>Sijoitettu pääoma (IC)</t>
  </si>
  <si>
    <t>Käyttöpääoman muutos (kohta 35.)</t>
  </si>
  <si>
    <t>Huom! Leasing-rahoituksen määrä enintään 80 % investoinnista.</t>
  </si>
  <si>
    <t>OHJE</t>
  </si>
  <si>
    <t>Taseen tarkastus: (Vastaavaa - Vastattavaa)</t>
  </si>
  <si>
    <t>Toteutunut tilikausi, siirtosaamisten %-osuus liikevaihdosta</t>
  </si>
  <si>
    <t>Osatuloutukset, osuus liikevaihdosta (%)</t>
  </si>
  <si>
    <t>Saadut ennakot, osuus liikevaihdosta (%)</t>
  </si>
  <si>
    <t>Hyvä</t>
  </si>
  <si>
    <t>Heikko</t>
  </si>
  <si>
    <t>Tyydyttävä</t>
  </si>
  <si>
    <t>Prosenttia maksetuista palkoista (%)</t>
  </si>
  <si>
    <t>Keskimääräinen veronpidätys-% palkoista (%)</t>
  </si>
  <si>
    <t xml:space="preserve"> - tuntipalkka keskimäärin / hlö tai kuukausipalkka</t>
  </si>
  <si>
    <t>Erotus</t>
  </si>
  <si>
    <t>Tavoitemenot tilikaudella (sis. alv)</t>
  </si>
  <si>
    <t>Luontoisedut</t>
  </si>
  <si>
    <t>YEL-henkilöt</t>
  </si>
  <si>
    <t>Rahapalkat</t>
  </si>
  <si>
    <t>Pidätys-%</t>
  </si>
  <si>
    <t>Työnt.maksut</t>
  </si>
  <si>
    <t>Verotettava
tulo</t>
  </si>
  <si>
    <t>Verottaja-
tilitykset</t>
  </si>
  <si>
    <t>TyEL-työntekijät</t>
  </si>
  <si>
    <t>TyEL-toimihenkilöt</t>
  </si>
  <si>
    <t>Ennustevuosi 1</t>
  </si>
  <si>
    <t>Ennustevuosi 2</t>
  </si>
  <si>
    <t>5. Sijoitetun vapaan oman pääoman (SVOP) rahasto</t>
  </si>
  <si>
    <t>Sijoitetun pääoman tuoton laskenta</t>
  </si>
  <si>
    <t>Nettotulos</t>
  </si>
  <si>
    <t>Oma pääoma alussa</t>
  </si>
  <si>
    <t>Oma pääoma lopussa</t>
  </si>
  <si>
    <t>1. Oma pääoma keskimäärin</t>
  </si>
  <si>
    <t>Sijoitettu korollinen vieras pääoma alussa</t>
  </si>
  <si>
    <t>Sijoitettu korollinen vieras pääoma lopussa</t>
  </si>
  <si>
    <t>2. Sijoitettu korollinen vieras pääoma keskimäärin</t>
  </si>
  <si>
    <t>3. Sijoitettu pääoma keskimäärin (1+2)</t>
  </si>
  <si>
    <t>Rahoitustuloksen riittävyyden laskenta</t>
  </si>
  <si>
    <t>Investointien omarahoitus, tulorahoitus</t>
  </si>
  <si>
    <t>Oma pääoma</t>
  </si>
  <si>
    <t>Net gearing - laskenta</t>
  </si>
  <si>
    <t>Korollinen vieras pääoma</t>
  </si>
  <si>
    <t>Rahat ja arvopaperit</t>
  </si>
  <si>
    <t>Voitonjako omalle pääomalle = 10,0 %</t>
  </si>
  <si>
    <t>Liikevaihto / henkilö</t>
  </si>
  <si>
    <t>Pakolliset henkilöstökulut / henkilö</t>
  </si>
  <si>
    <t>Kaikki henkilöstökulut / henkilö</t>
  </si>
  <si>
    <t>Aputaulukko:</t>
  </si>
  <si>
    <t>Liiketoimintakaupan tavaravarasto, alkuvarasto</t>
  </si>
  <si>
    <t>7.a</t>
  </si>
  <si>
    <t>7.b</t>
  </si>
  <si>
    <t>Ennustevuosi</t>
  </si>
  <si>
    <t>Avustukset yhteensä</t>
  </si>
  <si>
    <t>1. INVESTOINNIT</t>
  </si>
  <si>
    <t>Investointien alv-vähennykset yhteensä</t>
  </si>
  <si>
    <t>Myynti / suoritemäärä yksikköä</t>
  </si>
  <si>
    <t>Myyntihinta / yksikkö alv 0 %</t>
  </si>
  <si>
    <t>Ainekäytön / hankintojen osuus (%)</t>
  </si>
  <si>
    <t>Ainekäyttö / hankinnat alv 0 %</t>
  </si>
  <si>
    <t>1.1. Investoinnit</t>
  </si>
  <si>
    <t>AT1: Investoinnit</t>
  </si>
  <si>
    <t>Tilikausi</t>
  </si>
  <si>
    <t>Myyntisaamiset edellinen tilikausi</t>
  </si>
  <si>
    <t>Toteutunut maksuaika (pv)</t>
  </si>
  <si>
    <t>Myyntisaamiset / pv</t>
  </si>
  <si>
    <t>Maksuehto &lt;30 pv</t>
  </si>
  <si>
    <t>Maksuehto 31-60 pv</t>
  </si>
  <si>
    <t>Maksuehto 61-90 pv</t>
  </si>
  <si>
    <t>Maksuehto 91-120 pv</t>
  </si>
  <si>
    <t>Maksuehto 121-150 pv</t>
  </si>
  <si>
    <t>Maksuehto 151-180 pv</t>
  </si>
  <si>
    <t>Myynti tililkaudella</t>
  </si>
  <si>
    <t>Myyntisaatavien kiertoaika</t>
  </si>
  <si>
    <t>Laskutusmyynti kaudella</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</si>
  <si>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</si>
  <si>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</si>
  <si>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</si>
  <si>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</si>
  <si>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</si>
  <si>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</si>
  <si>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</si>
  <si>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</si>
  <si>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</si>
  <si>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</si>
  <si>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</si>
  <si>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</si>
  <si>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</si>
  <si>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</si>
  <si>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</si>
  <si>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Toteutunut</t>
  </si>
  <si>
    <t>Opas 1</t>
  </si>
  <si>
    <t>Eväspaketti</t>
  </si>
  <si>
    <t>Aamiainen</t>
  </si>
  <si>
    <t>Lounas</t>
  </si>
  <si>
    <t>Illallinen</t>
  </si>
  <si>
    <t>Ostovelat edellinen tilikausi</t>
  </si>
  <si>
    <t>Ostovelat / pv</t>
  </si>
  <si>
    <t>Osallistujat</t>
  </si>
  <si>
    <t>€/osallistuja</t>
  </si>
  <si>
    <t>1. Maa-alueet ja vesialueet, liittymät yms.</t>
  </si>
  <si>
    <t>2. Uudisrakennukset ja rakennelmat (sis. alv)</t>
  </si>
  <si>
    <t>3. Rakennukset ja rakennelmat</t>
  </si>
  <si>
    <t>4. Koneet ja kalusto (sis. alv)</t>
  </si>
  <si>
    <t>5. Koneet ja kalusto (alv 0 %)</t>
  </si>
  <si>
    <t>6. Muut aineelliset hyödykkeet (sis. alv)</t>
  </si>
  <si>
    <t>7. Aineettomat hyödykkeet</t>
  </si>
  <si>
    <t>1.2. Leasingrahoitus</t>
  </si>
  <si>
    <t>1.3. Poistettava kalusto (sis. alv)</t>
  </si>
  <si>
    <t>Leasingrahoitus yhteensä</t>
  </si>
  <si>
    <t>Investoinnit yhteensä</t>
  </si>
  <si>
    <t>Poistettava kalusto (sis. alv) yhteensä</t>
  </si>
  <si>
    <t>1.4. Investointien alv-vähennykset</t>
  </si>
  <si>
    <t>1.5. Poistettava kalusto (alv 0)</t>
  </si>
  <si>
    <t>Poistettava kalusto (alv 0) yhteensä</t>
  </si>
  <si>
    <t>1.6. Avustukset (ei leasingin avustusta)</t>
  </si>
  <si>
    <t>1.7. Poistettava kalusto avustuksen jälkeen (alv 0)</t>
  </si>
  <si>
    <t>Poistettava kalusto avustuksen jälkeen (alv 0) yhteensä</t>
  </si>
  <si>
    <t>Alv:n osuus</t>
  </si>
  <si>
    <t>Alv-laskenta kassabudjetti</t>
  </si>
  <si>
    <t>Alv myynnistä</t>
  </si>
  <si>
    <t>Alv ostoista</t>
  </si>
  <si>
    <t>Veron määrä</t>
  </si>
  <si>
    <t>Vuosi</t>
  </si>
  <si>
    <t>AT4: Lainat</t>
  </si>
  <si>
    <t>PO ka.</t>
  </si>
  <si>
    <t>PO loppu</t>
  </si>
  <si>
    <t>Laina-aika</t>
  </si>
  <si>
    <t>Vanhat osamaksuvelat</t>
  </si>
  <si>
    <t>Ensimmäinen kausi</t>
  </si>
  <si>
    <t>Viimeinen kausi</t>
  </si>
  <si>
    <t>Vanhat osamaksuvelat yhteensä</t>
  </si>
  <si>
    <t>Uudet osamaksuvelat 1</t>
  </si>
  <si>
    <t>Uudet osamaksuvelat 2</t>
  </si>
  <si>
    <t>Uudet osamaksuvelat 3</t>
  </si>
  <si>
    <t>Uudet osamaksuvelat 4</t>
  </si>
  <si>
    <t>Osamaksuvelat yhteensä</t>
  </si>
  <si>
    <t>Alv-vähennyskelpoiset kulut</t>
  </si>
  <si>
    <t>Kirjat, matkaliput, majoitus, muut matkakustannukset</t>
  </si>
  <si>
    <t>Tilatut lehdet</t>
  </si>
  <si>
    <t>Alv-vähennyskelpoiset kulut (sis. alv) yhteensä</t>
  </si>
  <si>
    <t>Alv-vähennyskelpoiset kulut (alv 0) yhteensä</t>
  </si>
  <si>
    <t>Muut kiinteät kulut (sis. alv) kassabudjettiin</t>
  </si>
  <si>
    <t>Keskimääräinen alv-%</t>
  </si>
  <si>
    <t>Ostoihin sisältyvät alv:t</t>
  </si>
  <si>
    <t>Muut kiinteät kulut (alv 0)</t>
  </si>
  <si>
    <t>OSAMAKSUVELAT TASEESSA KO. VUONNA</t>
  </si>
  <si>
    <t>Lyhytaik.</t>
  </si>
  <si>
    <t>Pitkäaik.</t>
  </si>
  <si>
    <t>Ennuste 5 (ei näkyvissä)</t>
  </si>
  <si>
    <t>Järjestäjänä työpanos (opas ja yleismies)</t>
  </si>
  <si>
    <t>Hinta (alv 0)</t>
  </si>
  <si>
    <t>Hinta (sis. alv)</t>
  </si>
  <si>
    <t>Talousmalli</t>
  </si>
  <si>
    <t>Metsästysmatkailun edellytykset</t>
  </si>
  <si>
    <t>Rahoitus</t>
  </si>
  <si>
    <t>ELÄMYSARVO</t>
  </si>
  <si>
    <t>Fasaani</t>
  </si>
  <si>
    <t>Metsäkanalintu</t>
  </si>
  <si>
    <t>LIHA-ARVO</t>
  </si>
  <si>
    <t>Riistalaji</t>
  </si>
  <si>
    <t>Sorkkaeläin</t>
  </si>
  <si>
    <t>Lintu</t>
  </si>
  <si>
    <t>Hirvi</t>
  </si>
  <si>
    <t>Valkohäntäpeura</t>
  </si>
  <si>
    <t>Jänis</t>
  </si>
  <si>
    <t>Pienriista</t>
  </si>
  <si>
    <t>Vastuullinen metsästysmatkailu</t>
  </si>
  <si>
    <t>Sorkkaeläin (6 kokonaista eläintä)</t>
  </si>
  <si>
    <t>Myyntihinta per yksikkö (alv 0)</t>
  </si>
  <si>
    <t>2 &amp; 7 Tulossuunnitelma</t>
  </si>
  <si>
    <t>PÄÄOMANTARVE (1000 euroa)</t>
  </si>
  <si>
    <t>Yht.</t>
  </si>
  <si>
    <t>RAHOITUS (1000 euroa)</t>
  </si>
  <si>
    <t>Omistajien sijoitukset:</t>
  </si>
  <si>
    <t>TEUR</t>
  </si>
  <si>
    <t>LIIKEVAIHTO/HENKILÖ (euroa)</t>
  </si>
  <si>
    <t>Lisätietoja</t>
  </si>
  <si>
    <t>PYSYVÄT VASTAAVAT</t>
  </si>
  <si>
    <t>A.</t>
  </si>
  <si>
    <t>B.</t>
  </si>
  <si>
    <t>VAIHTUVAT VASTAAVAT</t>
  </si>
  <si>
    <t>TASE VASTAAVAA (1000 euroa)</t>
  </si>
  <si>
    <t>INVESTOINTISUUNNITELMA</t>
  </si>
  <si>
    <t>TASE JA RAHOITUSSUUNNITELMA</t>
  </si>
  <si>
    <t>TASE VASTATTAVAA (1000 euroa)</t>
  </si>
  <si>
    <t>D.</t>
  </si>
  <si>
    <t>TILINPÄÄTÖSSIIRTOJEN KERTYMÄ</t>
  </si>
  <si>
    <t>PAKOLLISET VARAUKSET</t>
  </si>
  <si>
    <t>E.</t>
  </si>
  <si>
    <t>F.</t>
  </si>
  <si>
    <t>PITKÄAIKAINEN VIERAS PÄÄOMA</t>
  </si>
  <si>
    <t>G.</t>
  </si>
  <si>
    <t>LYHYTAIKAINEN VIERAS PÄÄOMA</t>
  </si>
  <si>
    <t>RAHOITUSSUUNNITELMA (1000 euroa)</t>
  </si>
  <si>
    <t>TULOSSUUNNITELMA (1000 euroa)</t>
  </si>
  <si>
    <t>1. Rahoitustulos</t>
  </si>
  <si>
    <t>2. Omistajien lisäsijoitukset</t>
  </si>
  <si>
    <t>3. Pitkäaikaisten lainojen ja ostovelkojen lisäys</t>
  </si>
  <si>
    <t>4. Osamaksuvelkojen lisäys</t>
  </si>
  <si>
    <t>5. Lyhytaikaisten lainojen lisäys</t>
  </si>
  <si>
    <t>6. ELYn avustus, pääomalainan lisäys, sijoitusten tuloutus, omaisuuden myyntitulot, osakepääoman konvertointi</t>
  </si>
  <si>
    <t>7. YHTEENSÄ</t>
  </si>
  <si>
    <t>8. Investoinnit</t>
  </si>
  <si>
    <t>9. Käyttöpääoman muutos</t>
  </si>
  <si>
    <t>10. Muu rahoitusomaisuuden lisäys</t>
  </si>
  <si>
    <t>11. Pitkäaikaisten rahalaitoslainojen vähennys</t>
  </si>
  <si>
    <t>12. SVOP-palautukset ja pääomalainojen vähennys</t>
  </si>
  <si>
    <t>14. Pitkäaikaisten lainojen lyhennyserämuutokset</t>
  </si>
  <si>
    <t>15. Osamaksuvelkojen vähennys</t>
  </si>
  <si>
    <t>13. Muut pitkäaikaiset velat vähennys</t>
  </si>
  <si>
    <t>16. Muu lyhytaikaisen vieraan pääoman lisäys/vähennys</t>
  </si>
  <si>
    <t>17. Lyhytaikaisten lainojen vähennys</t>
  </si>
  <si>
    <t>18. Osingonjako ja yksityiskäyttö</t>
  </si>
  <si>
    <t>19. Sijoitukset</t>
  </si>
  <si>
    <t>20. YHTEENSÄ</t>
  </si>
  <si>
    <t>22. Kumulatiivinen yli-/alijäämä</t>
  </si>
  <si>
    <t>Kirjoita tähän lisätietoa rahoituksesta (esim. korko-%, laina-aika, vakuus jne.)</t>
  </si>
  <si>
    <t>Kirjoita tähän lisätietoa pääomantarpeesta.</t>
  </si>
  <si>
    <t>RAHOITUSSUUNNITELMA / KÄYTTÖPÄÄOMA (1000 euroa)</t>
  </si>
  <si>
    <t>28. Vaihto-omaisuus</t>
  </si>
  <si>
    <t>29. Myyntisaamiset</t>
  </si>
  <si>
    <t>30. Muut saamiset</t>
  </si>
  <si>
    <t>31. Osatuloutuksen saamiset</t>
  </si>
  <si>
    <t>32. Ostovelat</t>
  </si>
  <si>
    <t>33. Saadut ennakot</t>
  </si>
  <si>
    <t>34. Käyttöpääoma</t>
  </si>
  <si>
    <t>35. Käyttöpääoman muutos</t>
  </si>
  <si>
    <t>RAHOITUSSUUNNITELMA JA LAINAT</t>
  </si>
  <si>
    <t>(%)</t>
  </si>
  <si>
    <t>(pv)</t>
  </si>
  <si>
    <t>21. Yli-/alijäämä (kohdat 7-20)</t>
  </si>
  <si>
    <t>Laina-aikaa jäljellä
(v)</t>
  </si>
  <si>
    <t>Laina-määrä tilinpää-töksessä</t>
  </si>
  <si>
    <t>LAINAT (1000 euroa)</t>
  </si>
  <si>
    <t>NYKYISET PITKÄAIKAISET LAINAT (1000 euroa)</t>
  </si>
  <si>
    <t>UUDET PITKÄAIKAISET LAINAT (1000 euroa)</t>
  </si>
  <si>
    <t>Laina-määrä</t>
  </si>
  <si>
    <t>Laina-aika (v)</t>
  </si>
  <si>
    <t>Lyh.</t>
  </si>
  <si>
    <t>UUDET OSAMAKSUVELAT (1000 euroa)</t>
  </si>
  <si>
    <t>TALOUDEN TUNNUSLUVUT</t>
  </si>
  <si>
    <t>TILINPÄÄTÖKSEN TUNNUSLUKUJA</t>
  </si>
  <si>
    <t>TILIKAUDEN VOITTO (TAPPIO)</t>
  </si>
  <si>
    <t>Vaihto-omaisuuden lisäys (+) / vähennys (-)</t>
  </si>
  <si>
    <t>Yrityksen nimi</t>
  </si>
  <si>
    <t>Laatija</t>
  </si>
  <si>
    <t>Päivämäärä</t>
  </si>
  <si>
    <t>Malliyritys Oy</t>
  </si>
  <si>
    <t>Aki Laaksonen</t>
  </si>
  <si>
    <t>Hankkeen kuvaus</t>
  </si>
  <si>
    <t>Kirjoita tähän hankkeen kuvaus lyhyesti.</t>
  </si>
  <si>
    <t>Muu lyhytaikaisen vieraan pääoman lisäys / vähennys</t>
  </si>
  <si>
    <t>Nostettava osinko / yksityisotot</t>
  </si>
  <si>
    <t>Osingonjako / yksityisotot</t>
  </si>
  <si>
    <t>Jos lomapalkkavarausta ei tehdä, merkitse rivi 90 = 0.</t>
  </si>
  <si>
    <t>Muistiinpanoja</t>
  </si>
  <si>
    <t>Jos lomapalkkavarausta ei tehdä, korjaa 3 TASE-taulukon rivi 90 = 0.</t>
  </si>
  <si>
    <t>3.19 Leasingkulut alv 0 % (yksityiskäyttö)</t>
  </si>
  <si>
    <t>Tarkista, että solu E125 = 2 &amp; 7 TULOSSUUNNITELMA solu H18.</t>
  </si>
  <si>
    <t>Tarkista, että solu F10 = 2 &amp; 7 TULOSSUUNNITELMA solu H11.</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</si>
  <si>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</si>
  <si>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</si>
  <si>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</si>
  <si>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Lisäykset tilikaudella</t>
  </si>
  <si>
    <t>Vähennykset tilikaudella</t>
  </si>
  <si>
    <t>Poistot</t>
  </si>
  <si>
    <t>Pääomalainan akordi</t>
  </si>
  <si>
    <t>Osamaksuvelat</t>
  </si>
  <si>
    <t>Pitkäaikaisten lainojen lyhennykset</t>
  </si>
  <si>
    <t>Lyhytaikaiset rahalaitoslainat</t>
  </si>
  <si>
    <t>Pitkäaikaisen osamaksuvelan lyhennys</t>
  </si>
  <si>
    <t>Sosiaaliturvamaksuvelka</t>
  </si>
  <si>
    <t>Arvonlisäverovelka</t>
  </si>
  <si>
    <t>Muut lyhytaikaiset velat</t>
  </si>
  <si>
    <t>Siirtovelat</t>
  </si>
  <si>
    <t>Lomapalkkavelat</t>
  </si>
  <si>
    <t>Laskettu eläke- ja sivukuluvelka</t>
  </si>
  <si>
    <t>Tarkastus: (Kumulatiivinen yli-/alijäämä - TASE Rahat ja pankkisaamiset)</t>
  </si>
  <si>
    <t>Tarkastus: (Rahat ja pankkisaamiset - RAHOITUSSUUNNITELMA Kumulatiivinen yli-/alijäämä)</t>
  </si>
  <si>
    <t>Tarkastus: (Nettovarallisuus - TASE Oma pääoma)</t>
  </si>
  <si>
    <t>LIIKEVAIHTO yhteensä (alv 0 %)</t>
  </si>
  <si>
    <t>AINEKÄYTTÖ yhteensä (alv 0 %)</t>
  </si>
  <si>
    <t>Toteutunut tilikausi, muiden saamisten %-osuus liikevaihdosta</t>
  </si>
  <si>
    <t>Ennakonpidätys- ja sosiaaliturvamaksuvelka</t>
  </si>
  <si>
    <t>Avustukset, pääomalainan lisäys, sijoitusten tuloutus, omaisuuden myyntitulot, osakepääoman konvertointi</t>
  </si>
  <si>
    <t>Voitto (tappio) ennen tilinpäätössiirtoja ja veroja</t>
  </si>
  <si>
    <t>Tilikauden voitto (tappio)</t>
  </si>
  <si>
    <t>Liiketoiminnan tuotot yhteensä</t>
  </si>
  <si>
    <t>Lähde:</t>
  </si>
  <si>
    <t>2 &amp; 7 TULOSSUUNNITELMA</t>
  </si>
  <si>
    <t>TULOSSUUNNITELMA</t>
  </si>
  <si>
    <t>Aineelliset hyödykkeet</t>
  </si>
  <si>
    <t>3 TASE</t>
  </si>
  <si>
    <t>Tase: pysyvät vastaavat</t>
  </si>
  <si>
    <t>TASE</t>
  </si>
  <si>
    <t>Saamiset</t>
  </si>
  <si>
    <t>Rahoitusarvopaperit</t>
  </si>
  <si>
    <t>Rahat ja pankkisaamiset</t>
  </si>
  <si>
    <t>Tase: vaihtuvat vastaavat</t>
  </si>
  <si>
    <t>Tase: vastaavaa</t>
  </si>
  <si>
    <t>Tase: vastattavaa</t>
  </si>
  <si>
    <t>Taseen loppusumma</t>
  </si>
  <si>
    <t>Tilinpäätössiirtojen kertymä</t>
  </si>
  <si>
    <t>Pakolliset varaukset</t>
  </si>
  <si>
    <t>Pitkäaikainen vieras pääoma</t>
  </si>
  <si>
    <t>Lyhytaikainen vieras pääoma</t>
  </si>
  <si>
    <t>KUSTANNUKSET</t>
  </si>
  <si>
    <t>Palkat ja palkkiot</t>
  </si>
  <si>
    <t>Henkilöstösivukulut</t>
  </si>
  <si>
    <t>5 KUSTANNUKSET</t>
  </si>
  <si>
    <t>6 LIIKEVAIHTO</t>
  </si>
  <si>
    <t>Ainekäyttö</t>
  </si>
  <si>
    <t>Myyntikate</t>
  </si>
  <si>
    <t>Myyntikate-%</t>
  </si>
  <si>
    <t>Ainekäyttö ja myyntikate</t>
  </si>
  <si>
    <t>RAHOITUSSUUNNITELMA</t>
  </si>
  <si>
    <t>8 RAHOITUSSUUNNITELMA</t>
  </si>
  <si>
    <t>Rahan lähteet yhteensä</t>
  </si>
  <si>
    <t>Rahan käyttö yhteensä</t>
  </si>
  <si>
    <t>Yli-/alijäämä</t>
  </si>
  <si>
    <t>Osatuloutuksen saamiset</t>
  </si>
  <si>
    <t>Käyttöpääoma: varat</t>
  </si>
  <si>
    <t>Käyttöpääoma: velat</t>
  </si>
  <si>
    <t>TUNNUSLUKUJA</t>
  </si>
  <si>
    <t>Käyttökate</t>
  </si>
  <si>
    <t>Liiketulos</t>
  </si>
  <si>
    <t>Maksuvalmius: Quick ratio</t>
  </si>
  <si>
    <t>Maksuvalmius: Current ratio</t>
  </si>
  <si>
    <t>Rahan lähteet ja käyttö: Yli-/alijäämä</t>
  </si>
  <si>
    <t>Rahan lähteet ja käyttö: Kumulatiivinen yli-/alijäämä</t>
  </si>
  <si>
    <t>NETTOVARALLISUUS</t>
  </si>
  <si>
    <t>Nostettava osinko/yksityisotot</t>
  </si>
  <si>
    <t>1 INVESTOINTISUUNNITELMA</t>
  </si>
  <si>
    <t>4 LAINAT</t>
  </si>
  <si>
    <t>Nykyisten pitkäaikaisten lainojen lyhennykset</t>
  </si>
  <si>
    <t>Nykyisten pitkäaikaisten lainojen korot</t>
  </si>
  <si>
    <t>LAINAT</t>
  </si>
  <si>
    <t>Uusien pitkäaikaisten lainojen nostot</t>
  </si>
  <si>
    <t>10 Yhteenveto</t>
  </si>
  <si>
    <t>11 Graafit</t>
  </si>
  <si>
    <t>AT11: Data graafeihin</t>
  </si>
  <si>
    <t>AT5: Alv-ostot</t>
  </si>
  <si>
    <t>Arvonlisäveroprosentit - vero.fi</t>
  </si>
  <si>
    <t>AT9: Alv-laskenta</t>
  </si>
  <si>
    <t>Uusien pitkäaikaisten lainojen lyhennykset</t>
  </si>
  <si>
    <t>Uusien osamaksuvelkojen nostot</t>
  </si>
  <si>
    <t>Uusien osamaksuvelkojen lyhennykset</t>
  </si>
  <si>
    <t>Uusien pitkäaikaisten lainojen korot</t>
  </si>
  <si>
    <t>Uusien osamaksuvelkojen korot</t>
  </si>
  <si>
    <t>Nykyiset pitkäaikaiset lainat kauden lopussa</t>
  </si>
  <si>
    <t>4 LAINAT + 3 TASE</t>
  </si>
  <si>
    <t>Kuva: Rika Nakamura</t>
  </si>
  <si>
    <t>Fasaani- ja metsäkanalinnut, naiset 6 hlöä</t>
  </si>
  <si>
    <t>Myytävän lihan arvo</t>
  </si>
  <si>
    <t xml:space="preserve">Paketti: </t>
  </si>
  <si>
    <t>Kirjoita tähän paketin nimi/sisältö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</si>
</sst>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
    <numFmt numFmtId="165" formatCode="#,##0.00\ &quot;€&quot;"/>
    <numFmt numFmtId="166" formatCode="#,##0.0"/>
    <numFmt numFmtId="167" formatCode="0.0"/>
  </numFmts>
  <fonts count="61" x14ac:knownFonts="1">
    <font>
      <sz val="11"/>
      <color theme="1"/>
      <name val="Aptos Narrow"/>
      <family val="2"/>
      <scheme val="minor"/>
    </font>
    <font>
      <sz val="11"/>
      <color theme="1"/>
      <name val="Aptos Narrow"/>
      <family val="2"/>
      <scheme val="minor"/>
    </font>
    <font>
      <b/>
      <sz val="11"/>
      <color theme="1"/>
      <name val="Aptos Narrow"/>
      <family val="2"/>
      <scheme val="minor"/>
    </font>
    <font>
      <sz val="11"/>
      <color rgb="FF0070C0"/>
      <name val="Aptos Narrow"/>
      <family val="2"/>
      <scheme val="minor"/>
    </font>
    <font>
      <sz val="10"/>
      <name val="Aptos Narrow"/>
      <family val="2"/>
      <scheme val="minor"/>
    </font>
    <font>
      <sz val="10"/>
      <color theme="1"/>
      <name val="Aptos Narrow"/>
      <family val="2"/>
      <scheme val="minor"/>
    </font>
    <font>
      <b/>
      <sz val="10"/>
      <color theme="1"/>
      <name val="Aptos Narrow"/>
      <family val="2"/>
      <scheme val="minor"/>
    </font>
    <font>
      <b/>
      <sz val="14"/>
      <color theme="1"/>
      <name val="Aptos Narrow"/>
      <family val="2"/>
      <scheme val="minor"/>
    </font>
    <font>
      <b/>
      <sz val="16"/>
      <color theme="1"/>
      <name val="Aptos Narrow"/>
      <family val="2"/>
      <scheme val="minor"/>
    </font>
    <font>
      <i/>
      <sz val="11"/>
      <color theme="1"/>
      <name val="Aptos Narrow"/>
      <family val="2"/>
      <scheme val="minor"/>
    </font>
    <font>
      <sz val="8"/>
      <name val="Aptos Narrow"/>
      <family val="2"/>
      <scheme val="minor"/>
    </font>
    <font>
      <sz val="10"/>
      <color rgb="FFC00000"/>
      <name val="Aptos Narrow"/>
      <family val="2"/>
      <scheme val="minor"/>
    </font>
    <font>
      <b/>
      <sz val="12"/>
      <color rgb="FFC00000"/>
      <name val="Aptos Narrow"/>
      <family val="2"/>
      <scheme val="minor"/>
    </font>
    <font>
      <b/>
      <sz val="11"/>
      <color rgb="FFC00000"/>
      <name val="Aptos Narrow"/>
      <family val="2"/>
      <scheme val="minor"/>
    </font>
    <font>
      <sz val="11"/>
      <name val="Aptos Narrow"/>
      <family val="2"/>
      <scheme val="minor"/>
    </font>
    <font>
      <sz val="11"/>
      <color rgb="FFC00000"/>
      <name val="Aptos Narrow"/>
      <family val="2"/>
      <scheme val="minor"/>
    </font>
    <font>
      <sz val="11"/>
      <color theme="1"/>
      <name val="Aptos Narrow"/>
      <family val="2"/>
    </font>
    <font>
      <b/>
      <sz val="11"/>
      <color theme="1"/>
      <name val="Aptos Narrow"/>
      <family val="2"/>
    </font>
    <font>
      <b/>
      <sz val="11"/>
      <color rgb="FF0070C0"/>
      <name val="Aptos Narrow"/>
      <family val="2"/>
    </font>
    <font>
      <sz val="10"/>
      <color theme="1"/>
      <name val="Aptos Narrow"/>
      <family val="2"/>
    </font>
    <font>
      <sz val="10"/>
      <color rgb="FF0070C0"/>
      <name val="Aptos Narrow"/>
      <family val="2"/>
    </font>
    <font>
      <sz val="11"/>
      <name val="Aptos Narrow"/>
      <family val="2"/>
    </font>
    <font>
      <b/>
      <sz val="16"/>
      <name val="Aptos Narrow"/>
      <family val="2"/>
    </font>
    <font>
      <b/>
      <sz val="9"/>
      <color indexed="81"/>
      <name val="Tahoma"/>
      <family val="2"/>
    </font>
    <font>
      <sz val="9"/>
      <color indexed="81"/>
      <name val="Tahoma"/>
      <family val="2"/>
    </font>
    <font>
      <sz val="9"/>
      <color theme="1"/>
      <name val="Aptos Narrow"/>
      <family val="2"/>
      <scheme val="minor"/>
    </font>
    <font>
      <b/>
      <u/>
      <sz val="9"/>
      <color indexed="81"/>
      <name val="Tahoma"/>
      <family val="2"/>
    </font>
    <font>
      <i/>
      <sz val="10"/>
      <color theme="1"/>
      <name val="Aptos Narrow"/>
      <family val="2"/>
      <scheme val="minor"/>
    </font>
    <font>
      <sz val="11"/>
      <color rgb="FFFF0000"/>
      <name val="Aptos Narrow"/>
      <family val="2"/>
      <scheme val="minor"/>
    </font>
    <font>
      <u/>
      <sz val="9"/>
      <color indexed="81"/>
      <name val="Tahoma"/>
      <family val="2"/>
    </font>
    <font>
      <b/>
      <sz val="9"/>
      <color theme="1"/>
      <name val="Aptos Narrow"/>
      <family val="2"/>
      <scheme val="minor"/>
    </font>
    <font>
      <b/>
      <u/>
      <sz val="10"/>
      <color theme="1"/>
      <name val="Aptos Narrow"/>
      <family val="2"/>
      <scheme val="minor"/>
    </font>
    <font>
      <b/>
      <sz val="10"/>
      <color rgb="FFC00000"/>
      <name val="Aptos Narrow"/>
      <family val="2"/>
      <scheme val="minor"/>
    </font>
    <font>
      <b/>
      <sz val="12"/>
      <color theme="1"/>
      <name val="Aptos Narrow"/>
      <family val="2"/>
      <scheme val="minor"/>
    </font>
    <font>
      <b/>
      <sz val="11"/>
      <name val="Aptos Narrow"/>
      <family val="2"/>
      <scheme val="minor"/>
    </font>
    <font>
      <b/>
      <sz val="13"/>
      <color theme="1"/>
      <name val="Aptos Narrow"/>
      <family val="2"/>
      <scheme val="minor"/>
    </font>
    <font>
      <sz val="13"/>
      <color theme="1"/>
      <name val="Aptos Narrow"/>
      <family val="2"/>
      <scheme val="minor"/>
    </font>
    <font>
      <b/>
      <sz val="10"/>
      <name val="Aptos Narrow"/>
      <family val="2"/>
      <scheme val="minor"/>
    </font>
    <font>
      <b/>
      <sz val="13"/>
      <name val="Aptos Narrow"/>
      <family val="2"/>
      <scheme val="minor"/>
    </font>
    <font>
      <i/>
      <sz val="10"/>
      <color rgb="FF0070C0"/>
      <name val="Aptos Narrow"/>
      <family val="2"/>
      <scheme val="minor"/>
    </font>
    <font>
      <sz val="10"/>
      <color rgb="FF0070C0"/>
      <name val="Aptos Narrow"/>
      <family val="2"/>
      <scheme val="minor"/>
    </font>
    <font>
      <sz val="10"/>
      <color rgb="FFFF0000"/>
      <name val="Aptos Narrow"/>
      <family val="2"/>
      <scheme val="minor"/>
    </font>
    <font>
      <b/>
      <sz val="12"/>
      <color theme="9" tint="-0.249977111117893"/>
      <name val="Aptos Narrow"/>
      <family val="2"/>
      <scheme val="minor"/>
    </font>
    <font>
      <b/>
      <sz val="11"/>
      <color rgb="FF0070C0"/>
      <name val="Aptos Narrow"/>
      <family val="2"/>
      <scheme val="minor"/>
    </font>
    <font>
      <sz val="9"/>
      <color indexed="30"/>
      <name val="Tahoma"/>
      <family val="2"/>
    </font>
    <font>
      <sz val="9"/>
      <color indexed="10"/>
      <name val="Tahoma"/>
      <family val="2"/>
    </font>
    <font>
      <b/>
      <sz val="8"/>
      <color theme="1"/>
      <name val="Aptos Narrow"/>
      <family val="2"/>
      <scheme val="minor"/>
    </font>
    <font>
      <i/>
      <sz val="9"/>
      <color rgb="FF0070C0"/>
      <name val="Aptos Narrow"/>
      <family val="2"/>
      <scheme val="minor"/>
    </font>
    <font>
      <sz val="8"/>
      <color theme="1"/>
      <name val="Aptos Narrow"/>
      <family val="2"/>
      <scheme val="minor"/>
    </font>
    <font>
      <i/>
      <sz val="8"/>
      <color theme="1"/>
      <name val="Aptos Narrow"/>
      <family val="2"/>
      <scheme val="minor"/>
    </font>
    <font>
      <i/>
      <sz val="11"/>
      <color rgb="FF0070C0"/>
      <name val="Aptos Narrow"/>
      <family val="2"/>
      <scheme val="minor"/>
    </font>
    <font>
      <sz val="9"/>
      <color indexed="81"/>
      <name val="Tahoma"/>
      <charset val="1"/>
    </font>
    <font>
      <b/>
      <sz val="9"/>
      <color indexed="81"/>
      <name val="Tahoma"/>
      <charset val="1"/>
    </font>
    <font>
      <b/>
      <i/>
      <sz val="10"/>
      <color rgb="FF0070C0"/>
      <name val="Aptos Narrow"/>
      <family val="2"/>
      <scheme val="minor"/>
    </font>
    <font>
      <b/>
      <sz val="11"/>
      <color theme="9" tint="-0.249977111117893"/>
      <name val="Aptos Narrow"/>
      <family val="2"/>
      <scheme val="minor"/>
    </font>
    <font>
      <sz val="9"/>
      <name val="Aptos Narrow"/>
      <family val="2"/>
      <scheme val="minor"/>
    </font>
    <font>
      <b/>
      <sz val="9"/>
      <color rgb="FFC00000"/>
      <name val="Aptos Narrow"/>
      <family val="2"/>
      <scheme val="minor"/>
    </font>
    <font>
      <b/>
      <sz val="9"/>
      <color rgb="FF0070C0"/>
      <name val="Aptos Narrow"/>
      <family val="2"/>
      <scheme val="minor"/>
    </font>
    <font>
      <sz val="9"/>
      <color rgb="FF0070C0"/>
      <name val="Aptos Narrow"/>
      <family val="2"/>
      <scheme val="minor"/>
    </font>
    <font>
      <u/>
      <sz val="11"/>
      <color theme="10"/>
      <name val="Aptos Narrow"/>
      <family val="2"/>
      <scheme val="minor"/>
    </font>
    <font>
      <sz val="10"/>
      <color theme="0"/>
      <name val="Aptos Narrow"/>
      <family val="2"/>
      <scheme val="minor"/>
    </font>
  </fonts>
  <fills count="1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8" tint="0.79998168889431442"/>
        <bgColor indexed="64"/>
      </patternFill>
    </fill>
  </fills>
  <borders count="97">
    <border>
      <left/>
      <right/>
      <top/>
      <bottom/>
      <diagonal/>
    </border>
    <border>
      <left/>
      <right/>
      <top/>
      <bottom style="thin">
        <color indexed="64"/>
      </bottom>
      <diagonal/>
    </border>
    <border>
      <left/>
      <right/>
      <top/>
      <bottom style="double">
        <color indexed="64"/>
      </bottom>
      <diagonal/>
    </border>
    <border>
      <left/>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3">
    <xf numFmtId="0" fontId="0" fillId="0" borderId="0"/>
    <xf numFmtId="9" fontId="1" fillId="0" borderId="0" applyFont="0" applyFill="0" applyBorder="0" applyAlignment="0" applyProtection="0"/>
    <xf numFmtId="0" fontId="59" fillId="0" borderId="0" applyNumberFormat="0" applyFill="0" applyBorder="0" applyAlignment="0" applyProtection="0"/>
  </cellStyleXfs>
  <cellXfs count="1151">
    <xf numFmtId="0" fontId="0" fillId="0" borderId="0" xfId="0"/>
    <xf numFmtId="0" fontId="2" fillId="0" borderId="0" xfId="0" applyFont="1"/>
    <xf numFmtId="164" fontId="0" fillId="0" borderId="0" xfId="0" applyNumberFormat="1"/>
    <xf numFmtId="0" fontId="0" fillId="2" borderId="1" xfId="0" applyFill="1" applyBorder="1"/>
    <xf numFmtId="0" fontId="0" fillId="2" borderId="1" xfId="0" applyFill="1" applyBorder="1" applyAlignment="1">
      <alignment horizontal="center"/>
    </xf>
    <xf numFmtId="0" fontId="0" fillId="2" borderId="0" xfId="0" applyFill="1"/>
    <xf numFmtId="0" fontId="3" fillId="2" borderId="0" xfId="0" applyFont="1" applyFill="1"/>
    <xf numFmtId="0" fontId="4" fillId="2" borderId="0" xfId="0" applyFont="1" applyFill="1"/>
    <xf numFmtId="0" fontId="5" fillId="2" borderId="0" xfId="0" applyFont="1" applyFill="1"/>
    <xf numFmtId="0" fontId="5" fillId="2" borderId="0" xfId="0" applyFont="1" applyFill="1" applyAlignment="1">
      <alignment horizontal="center"/>
    </xf>
    <xf numFmtId="0" fontId="0" fillId="2" borderId="0" xfId="0" applyFill="1" applyAlignment="1">
      <alignment horizontal="center"/>
    </xf>
    <xf numFmtId="0" fontId="0" fillId="2" borderId="2" xfId="0" applyFill="1" applyBorder="1"/>
    <xf numFmtId="0" fontId="2" fillId="2" borderId="1" xfId="0" applyFont="1" applyFill="1" applyBorder="1" applyAlignment="1">
      <alignment horizontal="right"/>
    </xf>
    <xf numFmtId="165" fontId="0" fillId="2" borderId="0" xfId="0" applyNumberFormat="1" applyFill="1" applyAlignment="1">
      <alignment horizontal="right"/>
    </xf>
    <xf numFmtId="0" fontId="2" fillId="2" borderId="0" xfId="0" applyFont="1" applyFill="1"/>
    <xf numFmtId="0" fontId="7" fillId="2" borderId="0" xfId="0" applyFont="1" applyFill="1"/>
    <xf numFmtId="0" fontId="8" fillId="2" borderId="0" xfId="0" applyFont="1" applyFill="1"/>
    <xf numFmtId="0" fontId="6" fillId="4" borderId="1" xfId="0" applyFont="1" applyFill="1" applyBorder="1"/>
    <xf numFmtId="0" fontId="6" fillId="4" borderId="1" xfId="0" applyFont="1" applyFill="1" applyBorder="1" applyAlignment="1">
      <alignment horizontal="center"/>
    </xf>
    <xf numFmtId="0" fontId="6" fillId="4" borderId="1" xfId="0" applyFont="1" applyFill="1" applyBorder="1" applyAlignment="1">
      <alignment horizontal="right"/>
    </xf>
    <xf numFmtId="0" fontId="2" fillId="5" borderId="3" xfId="0" applyFont="1" applyFill="1" applyBorder="1"/>
    <xf numFmtId="0" fontId="2" fillId="5" borderId="3" xfId="0" applyFont="1" applyFill="1" applyBorder="1" applyAlignment="1">
      <alignment horizontal="center"/>
    </xf>
    <xf numFmtId="165" fontId="2" fillId="5" borderId="3" xfId="0" applyNumberFormat="1" applyFont="1" applyFill="1" applyBorder="1" applyAlignment="1">
      <alignment horizontal="right"/>
    </xf>
    <xf numFmtId="0" fontId="2" fillId="5" borderId="3" xfId="0" applyFont="1" applyFill="1" applyBorder="1" applyAlignment="1">
      <alignment horizontal="right"/>
    </xf>
    <xf numFmtId="0" fontId="9" fillId="2" borderId="0" xfId="0" applyFont="1" applyFill="1"/>
    <xf numFmtId="0" fontId="9" fillId="2" borderId="0" xfId="0" applyFont="1" applyFill="1" applyAlignment="1">
      <alignment horizontal="center"/>
    </xf>
    <xf numFmtId="164" fontId="9" fillId="2" borderId="0" xfId="1" applyNumberFormat="1" applyFont="1" applyFill="1"/>
    <xf numFmtId="0" fontId="8" fillId="2" borderId="0" xfId="0" applyFont="1" applyFill="1" applyAlignment="1">
      <alignment horizontal="center"/>
    </xf>
    <xf numFmtId="4" fontId="0" fillId="2" borderId="0" xfId="0" applyNumberFormat="1" applyFill="1"/>
    <xf numFmtId="4" fontId="2" fillId="2" borderId="0" xfId="0" applyNumberFormat="1" applyFont="1" applyFill="1"/>
    <xf numFmtId="4" fontId="0" fillId="2" borderId="2" xfId="0" applyNumberFormat="1" applyFill="1" applyBorder="1"/>
    <xf numFmtId="4" fontId="2" fillId="2" borderId="2" xfId="0" applyNumberFormat="1" applyFont="1" applyFill="1" applyBorder="1"/>
    <xf numFmtId="0" fontId="11" fillId="2" borderId="0" xfId="0" applyFont="1" applyFill="1" applyAlignment="1">
      <alignment horizontal="right"/>
    </xf>
    <xf numFmtId="0" fontId="12" fillId="2" borderId="1" xfId="0" applyFont="1" applyFill="1" applyBorder="1"/>
    <xf numFmtId="0" fontId="0" fillId="2" borderId="0" xfId="0" applyFill="1" applyAlignment="1">
      <alignment horizontal="left" indent="1"/>
    </xf>
    <xf numFmtId="0" fontId="13" fillId="2" borderId="1" xfId="0" applyFont="1" applyFill="1" applyBorder="1"/>
    <xf numFmtId="0" fontId="4" fillId="3" borderId="0" xfId="0" applyFont="1" applyFill="1"/>
    <xf numFmtId="0" fontId="4" fillId="3" borderId="2" xfId="0" applyFont="1" applyFill="1" applyBorder="1"/>
    <xf numFmtId="0" fontId="14" fillId="3" borderId="0" xfId="0" applyFont="1" applyFill="1" applyAlignment="1">
      <alignment horizontal="center"/>
    </xf>
    <xf numFmtId="165" fontId="14" fillId="3" borderId="0" xfId="0" applyNumberFormat="1" applyFont="1" applyFill="1" applyAlignment="1">
      <alignment horizontal="right"/>
    </xf>
    <xf numFmtId="164" fontId="14" fillId="3" borderId="0" xfId="0" applyNumberFormat="1" applyFont="1" applyFill="1" applyAlignment="1">
      <alignment horizontal="right"/>
    </xf>
    <xf numFmtId="0" fontId="13" fillId="2" borderId="0" xfId="0" applyFont="1" applyFill="1"/>
    <xf numFmtId="0" fontId="2" fillId="2" borderId="0" xfId="0" applyFont="1" applyFill="1" applyAlignment="1">
      <alignment horizontal="right"/>
    </xf>
    <xf numFmtId="0" fontId="11" fillId="2" borderId="1" xfId="0" applyFont="1" applyFill="1" applyBorder="1" applyAlignment="1">
      <alignment horizontal="center"/>
    </xf>
    <xf numFmtId="0" fontId="2" fillId="2" borderId="0" xfId="0" applyFont="1" applyFill="1" applyAlignment="1">
      <alignment horizontal="center"/>
    </xf>
    <xf numFmtId="0" fontId="15" fillId="2" borderId="0" xfId="0" applyFont="1" applyFill="1"/>
    <xf numFmtId="0" fontId="15" fillId="2" borderId="2" xfId="0" applyFont="1" applyFill="1" applyBorder="1"/>
    <xf numFmtId="0" fontId="6" fillId="4" borderId="11" xfId="0" applyFont="1" applyFill="1" applyBorder="1" applyAlignment="1">
      <alignment horizontal="center"/>
    </xf>
    <xf numFmtId="0" fontId="2" fillId="2" borderId="4" xfId="0" applyFont="1" applyFill="1" applyBorder="1" applyAlignment="1">
      <alignment horizontal="center"/>
    </xf>
    <xf numFmtId="0" fontId="2" fillId="2" borderId="7" xfId="0" applyFont="1" applyFill="1" applyBorder="1" applyAlignment="1">
      <alignment horizontal="center"/>
    </xf>
    <xf numFmtId="0" fontId="2" fillId="2" borderId="14" xfId="0" applyFont="1" applyFill="1" applyBorder="1" applyAlignment="1">
      <alignment horizontal="center"/>
    </xf>
    <xf numFmtId="0" fontId="0" fillId="2" borderId="7" xfId="0" applyFill="1" applyBorder="1"/>
    <xf numFmtId="0" fontId="6" fillId="4" borderId="15" xfId="0" applyFont="1" applyFill="1" applyBorder="1" applyAlignment="1">
      <alignment horizontal="center"/>
    </xf>
    <xf numFmtId="0" fontId="0" fillId="2" borderId="15" xfId="0" applyFill="1" applyBorder="1"/>
    <xf numFmtId="0" fontId="6" fillId="4" borderId="9" xfId="0" applyFont="1" applyFill="1" applyBorder="1" applyAlignment="1">
      <alignment horizontal="center"/>
    </xf>
    <xf numFmtId="0" fontId="6" fillId="4" borderId="10" xfId="0" applyFont="1" applyFill="1" applyBorder="1" applyAlignment="1">
      <alignment horizontal="right"/>
    </xf>
    <xf numFmtId="0" fontId="14" fillId="3" borderId="7" xfId="0" applyFont="1" applyFill="1" applyBorder="1" applyAlignment="1">
      <alignment horizontal="center"/>
    </xf>
    <xf numFmtId="165" fontId="0" fillId="2" borderId="8" xfId="0" applyNumberFormat="1" applyFill="1" applyBorder="1" applyAlignment="1">
      <alignment horizontal="right"/>
    </xf>
    <xf numFmtId="0" fontId="2" fillId="5" borderId="16" xfId="0" applyFont="1" applyFill="1" applyBorder="1" applyAlignment="1">
      <alignment horizontal="center"/>
    </xf>
    <xf numFmtId="165" fontId="2" fillId="5" borderId="17" xfId="0" applyNumberFormat="1" applyFont="1" applyFill="1" applyBorder="1" applyAlignment="1">
      <alignment horizontal="right"/>
    </xf>
    <xf numFmtId="0" fontId="6" fillId="4" borderId="9" xfId="0" applyFont="1" applyFill="1" applyBorder="1" applyAlignment="1">
      <alignment horizontal="right"/>
    </xf>
    <xf numFmtId="164" fontId="14" fillId="3" borderId="7" xfId="0" applyNumberFormat="1" applyFont="1" applyFill="1" applyBorder="1" applyAlignment="1">
      <alignment horizontal="right"/>
    </xf>
    <xf numFmtId="0" fontId="2" fillId="5" borderId="16" xfId="0" applyFont="1" applyFill="1" applyBorder="1" applyAlignment="1">
      <alignment horizontal="right"/>
    </xf>
    <xf numFmtId="0" fontId="6" fillId="4" borderId="18" xfId="0" applyFont="1" applyFill="1" applyBorder="1" applyAlignment="1">
      <alignment horizontal="right"/>
    </xf>
    <xf numFmtId="165" fontId="0" fillId="2" borderId="19" xfId="0" applyNumberFormat="1" applyFill="1" applyBorder="1" applyAlignment="1">
      <alignment horizontal="right"/>
    </xf>
    <xf numFmtId="165" fontId="2" fillId="5" borderId="20" xfId="0" applyNumberFormat="1" applyFont="1" applyFill="1" applyBorder="1" applyAlignment="1">
      <alignment horizontal="right"/>
    </xf>
    <xf numFmtId="0" fontId="5" fillId="2" borderId="15" xfId="0" applyFont="1" applyFill="1" applyBorder="1" applyAlignment="1">
      <alignment horizontal="center"/>
    </xf>
    <xf numFmtId="0" fontId="6" fillId="2" borderId="11" xfId="0" applyFont="1" applyFill="1" applyBorder="1" applyAlignment="1">
      <alignment horizontal="center"/>
    </xf>
    <xf numFmtId="0" fontId="6" fillId="2" borderId="12" xfId="0" applyFont="1" applyFill="1" applyBorder="1" applyAlignment="1">
      <alignment horizontal="center"/>
    </xf>
    <xf numFmtId="165" fontId="5" fillId="2" borderId="5" xfId="0" applyNumberFormat="1" applyFont="1" applyFill="1" applyBorder="1" applyAlignment="1">
      <alignment horizontal="right"/>
    </xf>
    <xf numFmtId="165" fontId="5" fillId="2" borderId="5" xfId="0" applyNumberFormat="1" applyFont="1" applyFill="1" applyBorder="1"/>
    <xf numFmtId="165" fontId="5" fillId="2" borderId="0" xfId="0" applyNumberFormat="1" applyFont="1" applyFill="1" applyAlignment="1">
      <alignment horizontal="right"/>
    </xf>
    <xf numFmtId="165" fontId="5" fillId="2" borderId="0" xfId="0" applyNumberFormat="1" applyFont="1" applyFill="1"/>
    <xf numFmtId="165" fontId="5" fillId="2" borderId="2" xfId="0" applyNumberFormat="1" applyFont="1" applyFill="1" applyBorder="1" applyAlignment="1">
      <alignment horizontal="right"/>
    </xf>
    <xf numFmtId="165" fontId="5" fillId="2" borderId="2" xfId="0" applyNumberFormat="1" applyFont="1" applyFill="1" applyBorder="1"/>
    <xf numFmtId="0" fontId="6" fillId="2" borderId="11" xfId="0" applyFont="1" applyFill="1" applyBorder="1"/>
    <xf numFmtId="0" fontId="6" fillId="2" borderId="15" xfId="0" applyFont="1" applyFill="1" applyBorder="1"/>
    <xf numFmtId="164" fontId="6" fillId="2" borderId="0" xfId="1" applyNumberFormat="1" applyFont="1" applyFill="1"/>
    <xf numFmtId="0" fontId="6" fillId="7" borderId="16" xfId="0" applyFont="1" applyFill="1" applyBorder="1"/>
    <xf numFmtId="0" fontId="6" fillId="7" borderId="20" xfId="0" applyFont="1" applyFill="1" applyBorder="1"/>
    <xf numFmtId="1" fontId="6" fillId="7" borderId="16" xfId="0" applyNumberFormat="1" applyFont="1" applyFill="1" applyBorder="1" applyAlignment="1">
      <alignment horizontal="center"/>
    </xf>
    <xf numFmtId="2" fontId="6" fillId="7" borderId="3" xfId="0" applyNumberFormat="1" applyFont="1" applyFill="1" applyBorder="1" applyAlignment="1">
      <alignment horizontal="center"/>
    </xf>
    <xf numFmtId="0" fontId="6" fillId="7" borderId="16" xfId="0" applyFont="1" applyFill="1" applyBorder="1" applyAlignment="1">
      <alignment horizontal="center"/>
    </xf>
    <xf numFmtId="165" fontId="6" fillId="7" borderId="3" xfId="0" applyNumberFormat="1" applyFont="1" applyFill="1" applyBorder="1" applyAlignment="1">
      <alignment horizontal="right"/>
    </xf>
    <xf numFmtId="0" fontId="6" fillId="7" borderId="3" xfId="0" applyFont="1" applyFill="1" applyBorder="1"/>
    <xf numFmtId="165" fontId="6" fillId="7" borderId="3" xfId="0" applyNumberFormat="1" applyFont="1" applyFill="1" applyBorder="1"/>
    <xf numFmtId="165" fontId="6" fillId="7" borderId="9" xfId="0" applyNumberFormat="1" applyFont="1" applyFill="1" applyBorder="1"/>
    <xf numFmtId="165" fontId="6" fillId="7" borderId="1" xfId="0" applyNumberFormat="1" applyFont="1" applyFill="1" applyBorder="1"/>
    <xf numFmtId="165" fontId="6" fillId="7" borderId="18" xfId="0" applyNumberFormat="1" applyFont="1" applyFill="1" applyBorder="1"/>
    <xf numFmtId="165" fontId="0" fillId="2" borderId="22" xfId="0" applyNumberFormat="1" applyFill="1" applyBorder="1" applyAlignment="1">
      <alignment horizontal="right"/>
    </xf>
    <xf numFmtId="0" fontId="0" fillId="6" borderId="7" xfId="0" applyFill="1" applyBorder="1" applyAlignment="1">
      <alignment horizontal="center"/>
    </xf>
    <xf numFmtId="0" fontId="0" fillId="6" borderId="0" xfId="0" applyFill="1" applyAlignment="1">
      <alignment horizontal="center"/>
    </xf>
    <xf numFmtId="0" fontId="0" fillId="6" borderId="14" xfId="0" applyFill="1" applyBorder="1" applyAlignment="1">
      <alignment horizontal="center"/>
    </xf>
    <xf numFmtId="0" fontId="0" fillId="6" borderId="2" xfId="0" applyFill="1" applyBorder="1" applyAlignment="1">
      <alignment horizontal="center"/>
    </xf>
    <xf numFmtId="0" fontId="2" fillId="7" borderId="1" xfId="0" applyFont="1" applyFill="1" applyBorder="1"/>
    <xf numFmtId="4" fontId="2" fillId="7" borderId="1" xfId="0" applyNumberFormat="1" applyFont="1" applyFill="1" applyBorder="1"/>
    <xf numFmtId="0" fontId="2" fillId="2" borderId="15" xfId="0" applyFont="1" applyFill="1" applyBorder="1"/>
    <xf numFmtId="0" fontId="2" fillId="6" borderId="15" xfId="0" applyFont="1" applyFill="1" applyBorder="1"/>
    <xf numFmtId="0" fontId="2" fillId="6" borderId="18" xfId="0" applyFont="1" applyFill="1" applyBorder="1"/>
    <xf numFmtId="0" fontId="0" fillId="2" borderId="15" xfId="0" applyFill="1" applyBorder="1" applyAlignment="1">
      <alignment horizontal="left" indent="1"/>
    </xf>
    <xf numFmtId="0" fontId="2" fillId="6" borderId="15" xfId="0" applyFont="1" applyFill="1" applyBorder="1" applyAlignment="1">
      <alignment horizontal="right"/>
    </xf>
    <xf numFmtId="0" fontId="2" fillId="7" borderId="18" xfId="0" applyFont="1" applyFill="1" applyBorder="1"/>
    <xf numFmtId="0" fontId="0" fillId="2" borderId="23" xfId="0" applyFill="1" applyBorder="1" applyAlignment="1">
      <alignment horizontal="left" indent="1"/>
    </xf>
    <xf numFmtId="0" fontId="0" fillId="2" borderId="23" xfId="0" applyFill="1" applyBorder="1"/>
    <xf numFmtId="0" fontId="2" fillId="7" borderId="21" xfId="0" applyFont="1" applyFill="1" applyBorder="1"/>
    <xf numFmtId="0" fontId="0" fillId="7" borderId="21" xfId="0" applyFill="1" applyBorder="1"/>
    <xf numFmtId="0" fontId="16" fillId="2" borderId="0" xfId="0" applyFont="1" applyFill="1"/>
    <xf numFmtId="0" fontId="17" fillId="2" borderId="0" xfId="0" applyFont="1" applyFill="1"/>
    <xf numFmtId="3" fontId="16" fillId="2" borderId="0" xfId="0" applyNumberFormat="1" applyFont="1" applyFill="1"/>
    <xf numFmtId="0" fontId="16" fillId="2" borderId="1" xfId="0" applyFont="1" applyFill="1" applyBorder="1"/>
    <xf numFmtId="3" fontId="16" fillId="2" borderId="1" xfId="0" applyNumberFormat="1" applyFont="1" applyFill="1" applyBorder="1"/>
    <xf numFmtId="3" fontId="17" fillId="2" borderId="15" xfId="0" applyNumberFormat="1" applyFont="1" applyFill="1" applyBorder="1"/>
    <xf numFmtId="3" fontId="19" fillId="2" borderId="7" xfId="0" applyNumberFormat="1" applyFont="1" applyFill="1" applyBorder="1"/>
    <xf numFmtId="3" fontId="19" fillId="2" borderId="0" xfId="0" applyNumberFormat="1" applyFont="1" applyFill="1"/>
    <xf numFmtId="2" fontId="18" fillId="2" borderId="0" xfId="0" applyNumberFormat="1" applyFont="1" applyFill="1"/>
    <xf numFmtId="0" fontId="20" fillId="2" borderId="0" xfId="0" applyFont="1" applyFill="1"/>
    <xf numFmtId="2" fontId="16" fillId="2" borderId="0" xfId="0" applyNumberFormat="1" applyFont="1" applyFill="1"/>
    <xf numFmtId="4" fontId="16" fillId="2" borderId="0" xfId="0" applyNumberFormat="1" applyFont="1" applyFill="1"/>
    <xf numFmtId="3" fontId="16" fillId="6" borderId="0" xfId="0" applyNumberFormat="1" applyFont="1" applyFill="1"/>
    <xf numFmtId="164" fontId="16" fillId="6" borderId="0" xfId="1" applyNumberFormat="1" applyFont="1" applyFill="1"/>
    <xf numFmtId="2" fontId="16" fillId="6" borderId="0" xfId="0" applyNumberFormat="1" applyFont="1" applyFill="1"/>
    <xf numFmtId="164" fontId="16" fillId="6" borderId="0" xfId="0" applyNumberFormat="1" applyFont="1" applyFill="1"/>
    <xf numFmtId="2" fontId="21" fillId="2" borderId="0" xfId="0" applyNumberFormat="1" applyFont="1" applyFill="1"/>
    <xf numFmtId="3" fontId="21" fillId="2" borderId="1" xfId="0" applyNumberFormat="1" applyFont="1" applyFill="1" applyBorder="1"/>
    <xf numFmtId="3" fontId="18" fillId="2" borderId="1" xfId="0" applyNumberFormat="1" applyFont="1" applyFill="1" applyBorder="1"/>
    <xf numFmtId="0" fontId="22" fillId="2" borderId="0" xfId="0" applyFont="1" applyFill="1"/>
    <xf numFmtId="164" fontId="16" fillId="2" borderId="0" xfId="1" applyNumberFormat="1" applyFont="1" applyFill="1"/>
    <xf numFmtId="0" fontId="21" fillId="2" borderId="0" xfId="0" applyFont="1" applyFill="1" applyAlignment="1">
      <alignment horizontal="right"/>
    </xf>
    <xf numFmtId="1" fontId="0" fillId="2" borderId="0" xfId="0" applyNumberFormat="1" applyFill="1"/>
    <xf numFmtId="3" fontId="0" fillId="2" borderId="0" xfId="0" applyNumberFormat="1" applyFill="1"/>
    <xf numFmtId="0" fontId="15" fillId="2" borderId="0" xfId="0" quotePrefix="1" applyFont="1" applyFill="1"/>
    <xf numFmtId="0" fontId="6" fillId="2" borderId="11" xfId="0" applyFont="1" applyFill="1" applyBorder="1" applyAlignment="1">
      <alignment horizontal="right"/>
    </xf>
    <xf numFmtId="0" fontId="6" fillId="2" borderId="12" xfId="0" applyFont="1" applyFill="1" applyBorder="1" applyAlignment="1">
      <alignment horizontal="right"/>
    </xf>
    <xf numFmtId="0" fontId="6" fillId="2" borderId="7" xfId="0" applyFont="1" applyFill="1" applyBorder="1" applyAlignment="1">
      <alignment horizontal="right"/>
    </xf>
    <xf numFmtId="0" fontId="6" fillId="2" borderId="8" xfId="0" applyFont="1" applyFill="1" applyBorder="1" applyAlignment="1">
      <alignment horizontal="right"/>
    </xf>
    <xf numFmtId="0" fontId="6" fillId="2" borderId="13" xfId="0" applyFont="1" applyFill="1" applyBorder="1" applyAlignment="1">
      <alignment horizontal="right"/>
    </xf>
    <xf numFmtId="0" fontId="5" fillId="2" borderId="11" xfId="0" applyFont="1" applyFill="1" applyBorder="1" applyAlignment="1">
      <alignment horizontal="right"/>
    </xf>
    <xf numFmtId="0" fontId="5" fillId="2" borderId="12" xfId="0" applyFont="1" applyFill="1" applyBorder="1" applyAlignment="1">
      <alignment horizontal="right"/>
    </xf>
    <xf numFmtId="0" fontId="0" fillId="2" borderId="12" xfId="0" applyFill="1" applyBorder="1" applyAlignment="1">
      <alignment horizontal="right"/>
    </xf>
    <xf numFmtId="0" fontId="5" fillId="2" borderId="13" xfId="0" applyFont="1" applyFill="1" applyBorder="1" applyAlignment="1">
      <alignment horizontal="right"/>
    </xf>
    <xf numFmtId="0" fontId="8" fillId="2" borderId="0" xfId="0" applyFont="1" applyFill="1" applyAlignment="1">
      <alignment horizontal="left"/>
    </xf>
    <xf numFmtId="0" fontId="0" fillId="2" borderId="0" xfId="0" applyFill="1" applyAlignment="1">
      <alignment horizontal="left"/>
    </xf>
    <xf numFmtId="0" fontId="0" fillId="2" borderId="15" xfId="0" applyFill="1" applyBorder="1" applyAlignment="1">
      <alignment horizontal="center"/>
    </xf>
    <xf numFmtId="0" fontId="0" fillId="2" borderId="15" xfId="0" quotePrefix="1" applyFill="1" applyBorder="1" applyAlignment="1">
      <alignment horizontal="left" indent="2"/>
    </xf>
    <xf numFmtId="0" fontId="0" fillId="2" borderId="13" xfId="0" applyFill="1" applyBorder="1"/>
    <xf numFmtId="0" fontId="0" fillId="2" borderId="18" xfId="0" applyFill="1" applyBorder="1"/>
    <xf numFmtId="0" fontId="0" fillId="2" borderId="12" xfId="0" applyFill="1" applyBorder="1"/>
    <xf numFmtId="0" fontId="0" fillId="2" borderId="11" xfId="0" applyFill="1" applyBorder="1"/>
    <xf numFmtId="0" fontId="2" fillId="2" borderId="10" xfId="0" applyFont="1" applyFill="1" applyBorder="1"/>
    <xf numFmtId="0" fontId="2" fillId="2" borderId="13" xfId="0" applyFont="1" applyFill="1" applyBorder="1"/>
    <xf numFmtId="0" fontId="0" fillId="2" borderId="6" xfId="0" applyFill="1" applyBorder="1"/>
    <xf numFmtId="3" fontId="0" fillId="2" borderId="15" xfId="0" applyNumberFormat="1" applyFill="1" applyBorder="1"/>
    <xf numFmtId="3" fontId="2" fillId="2" borderId="18" xfId="0" applyNumberFormat="1" applyFont="1" applyFill="1" applyBorder="1"/>
    <xf numFmtId="3" fontId="0" fillId="2" borderId="23" xfId="0" applyNumberFormat="1" applyFill="1" applyBorder="1"/>
    <xf numFmtId="0" fontId="2" fillId="2" borderId="12" xfId="0" applyFont="1" applyFill="1" applyBorder="1"/>
    <xf numFmtId="0" fontId="2" fillId="2" borderId="6" xfId="0" quotePrefix="1" applyFont="1" applyFill="1" applyBorder="1" applyAlignment="1">
      <alignment horizontal="center"/>
    </xf>
    <xf numFmtId="3" fontId="0" fillId="2" borderId="24" xfId="0" applyNumberFormat="1" applyFill="1" applyBorder="1"/>
    <xf numFmtId="0" fontId="2" fillId="2" borderId="18" xfId="0" applyFont="1" applyFill="1" applyBorder="1"/>
    <xf numFmtId="0" fontId="0" fillId="2" borderId="18" xfId="0" applyFill="1" applyBorder="1" applyAlignment="1">
      <alignment horizontal="center"/>
    </xf>
    <xf numFmtId="0" fontId="0" fillId="2" borderId="23" xfId="0" applyFill="1" applyBorder="1" applyAlignment="1">
      <alignment horizontal="center"/>
    </xf>
    <xf numFmtId="0" fontId="0" fillId="2" borderId="7" xfId="0" applyFill="1" applyBorder="1" applyAlignment="1">
      <alignment horizontal="center"/>
    </xf>
    <xf numFmtId="0" fontId="28" fillId="2" borderId="0" xfId="0" applyFont="1" applyFill="1"/>
    <xf numFmtId="3" fontId="2" fillId="2" borderId="15" xfId="0" applyNumberFormat="1" applyFont="1" applyFill="1" applyBorder="1"/>
    <xf numFmtId="0" fontId="2" fillId="2" borderId="5" xfId="0" applyFont="1" applyFill="1" applyBorder="1" applyAlignment="1">
      <alignment horizontal="left"/>
    </xf>
    <xf numFmtId="0" fontId="5" fillId="2" borderId="1" xfId="0" quotePrefix="1" applyFont="1" applyFill="1" applyBorder="1" applyAlignment="1">
      <alignment horizontal="left"/>
    </xf>
    <xf numFmtId="0" fontId="0" fillId="2" borderId="5" xfId="0" applyFill="1" applyBorder="1" applyAlignment="1">
      <alignment horizontal="left"/>
    </xf>
    <xf numFmtId="0" fontId="2" fillId="2" borderId="8" xfId="0" quotePrefix="1" applyFont="1" applyFill="1" applyBorder="1" applyAlignment="1">
      <alignment horizontal="center"/>
    </xf>
    <xf numFmtId="0" fontId="2" fillId="2" borderId="8" xfId="0" applyFont="1" applyFill="1" applyBorder="1" applyAlignment="1">
      <alignment horizontal="center"/>
    </xf>
    <xf numFmtId="0" fontId="2" fillId="2" borderId="6" xfId="0" applyFont="1" applyFill="1" applyBorder="1" applyAlignment="1">
      <alignment horizontal="center"/>
    </xf>
    <xf numFmtId="0" fontId="0" fillId="7" borderId="15" xfId="0" applyFill="1" applyBorder="1"/>
    <xf numFmtId="3" fontId="0" fillId="7" borderId="15" xfId="0" applyNumberFormat="1" applyFill="1" applyBorder="1"/>
    <xf numFmtId="0" fontId="0" fillId="7" borderId="18" xfId="0" applyFill="1" applyBorder="1"/>
    <xf numFmtId="0" fontId="0" fillId="2" borderId="6" xfId="0" applyFill="1" applyBorder="1" applyAlignment="1">
      <alignment horizontal="center"/>
    </xf>
    <xf numFmtId="0" fontId="0" fillId="2" borderId="8" xfId="0" applyFill="1" applyBorder="1" applyAlignment="1">
      <alignment horizontal="center"/>
    </xf>
    <xf numFmtId="0" fontId="0" fillId="2" borderId="35" xfId="0" applyFill="1" applyBorder="1"/>
    <xf numFmtId="0" fontId="2" fillId="2" borderId="36" xfId="0" applyFont="1" applyFill="1" applyBorder="1" applyAlignment="1">
      <alignment horizontal="center"/>
    </xf>
    <xf numFmtId="0" fontId="0" fillId="2" borderId="35" xfId="0" applyFill="1" applyBorder="1" applyAlignment="1">
      <alignment vertical="top"/>
    </xf>
    <xf numFmtId="3" fontId="0" fillId="2" borderId="37" xfId="0" applyNumberFormat="1" applyFill="1" applyBorder="1"/>
    <xf numFmtId="0" fontId="0" fillId="2" borderId="38" xfId="0" applyFill="1" applyBorder="1" applyAlignment="1">
      <alignment vertical="top"/>
    </xf>
    <xf numFmtId="0" fontId="0" fillId="2" borderId="39" xfId="0" applyFill="1" applyBorder="1"/>
    <xf numFmtId="0" fontId="0" fillId="2" borderId="39" xfId="0" applyFill="1" applyBorder="1" applyAlignment="1">
      <alignment horizontal="center"/>
    </xf>
    <xf numFmtId="3" fontId="0" fillId="2" borderId="40" xfId="0" applyNumberFormat="1" applyFill="1" applyBorder="1"/>
    <xf numFmtId="3" fontId="0" fillId="2" borderId="41" xfId="0" applyNumberFormat="1" applyFill="1" applyBorder="1"/>
    <xf numFmtId="0" fontId="0" fillId="2" borderId="27" xfId="0" applyFill="1" applyBorder="1"/>
    <xf numFmtId="0" fontId="2" fillId="2" borderId="28" xfId="0" applyFont="1" applyFill="1" applyBorder="1"/>
    <xf numFmtId="0" fontId="0" fillId="2" borderId="28" xfId="0" applyFill="1" applyBorder="1" applyAlignment="1">
      <alignment horizontal="center"/>
    </xf>
    <xf numFmtId="0" fontId="0" fillId="2" borderId="28" xfId="0" applyFill="1" applyBorder="1"/>
    <xf numFmtId="0" fontId="0" fillId="2" borderId="32" xfId="0" applyFill="1" applyBorder="1"/>
    <xf numFmtId="0" fontId="0" fillId="2" borderId="37" xfId="0" applyFill="1" applyBorder="1"/>
    <xf numFmtId="0" fontId="0" fillId="2" borderId="38" xfId="0" applyFill="1" applyBorder="1"/>
    <xf numFmtId="0" fontId="0" fillId="2" borderId="45" xfId="0" applyFill="1" applyBorder="1" applyAlignment="1">
      <alignment vertical="top"/>
    </xf>
    <xf numFmtId="0" fontId="0" fillId="2" borderId="46" xfId="0" applyFill="1" applyBorder="1"/>
    <xf numFmtId="0" fontId="0" fillId="2" borderId="46" xfId="0" applyFill="1" applyBorder="1" applyAlignment="1">
      <alignment horizontal="center"/>
    </xf>
    <xf numFmtId="0" fontId="0" fillId="2" borderId="36" xfId="0" applyFill="1" applyBorder="1"/>
    <xf numFmtId="0" fontId="0" fillId="2" borderId="39" xfId="0" quotePrefix="1" applyFill="1" applyBorder="1" applyAlignment="1">
      <alignment horizontal="center"/>
    </xf>
    <xf numFmtId="0" fontId="2" fillId="2" borderId="35" xfId="0" applyFont="1" applyFill="1" applyBorder="1"/>
    <xf numFmtId="0" fontId="0" fillId="2" borderId="49" xfId="0" applyFill="1" applyBorder="1"/>
    <xf numFmtId="0" fontId="31" fillId="2" borderId="0" xfId="0" applyFont="1" applyFill="1"/>
    <xf numFmtId="0" fontId="0" fillId="2" borderId="52" xfId="0" applyFill="1" applyBorder="1"/>
    <xf numFmtId="0" fontId="0" fillId="2" borderId="53" xfId="0" applyFill="1" applyBorder="1"/>
    <xf numFmtId="0" fontId="0" fillId="2" borderId="54" xfId="0" applyFill="1" applyBorder="1"/>
    <xf numFmtId="0" fontId="0" fillId="2" borderId="55" xfId="0" applyFill="1" applyBorder="1"/>
    <xf numFmtId="0" fontId="2" fillId="2" borderId="55" xfId="0" quotePrefix="1" applyFont="1" applyFill="1" applyBorder="1" applyAlignment="1">
      <alignment horizontal="center"/>
    </xf>
    <xf numFmtId="0" fontId="2" fillId="2" borderId="57" xfId="0" quotePrefix="1" applyFont="1" applyFill="1" applyBorder="1" applyAlignment="1">
      <alignment horizontal="center"/>
    </xf>
    <xf numFmtId="0" fontId="0" fillId="2" borderId="33" xfId="0" applyFill="1" applyBorder="1"/>
    <xf numFmtId="0" fontId="2" fillId="2" borderId="34" xfId="0" applyFont="1" applyFill="1" applyBorder="1" applyAlignment="1">
      <alignment horizontal="center"/>
    </xf>
    <xf numFmtId="0" fontId="0" fillId="2" borderId="60" xfId="0" applyFill="1" applyBorder="1"/>
    <xf numFmtId="0" fontId="0" fillId="2" borderId="40" xfId="0" applyFill="1" applyBorder="1"/>
    <xf numFmtId="167" fontId="30" fillId="2" borderId="15" xfId="1" applyNumberFormat="1" applyFont="1" applyFill="1" applyBorder="1"/>
    <xf numFmtId="3" fontId="0" fillId="2" borderId="18" xfId="0" applyNumberFormat="1" applyFill="1" applyBorder="1"/>
    <xf numFmtId="0" fontId="2" fillId="2" borderId="61" xfId="0" applyFont="1" applyFill="1" applyBorder="1"/>
    <xf numFmtId="0" fontId="2" fillId="2" borderId="62" xfId="0" applyFont="1" applyFill="1" applyBorder="1"/>
    <xf numFmtId="0" fontId="2" fillId="2" borderId="60" xfId="0" applyFont="1" applyFill="1" applyBorder="1"/>
    <xf numFmtId="3" fontId="2" fillId="2" borderId="40" xfId="0" applyNumberFormat="1" applyFont="1" applyFill="1" applyBorder="1"/>
    <xf numFmtId="0" fontId="11" fillId="2" borderId="0" xfId="0" applyFont="1" applyFill="1"/>
    <xf numFmtId="3" fontId="11" fillId="2" borderId="0" xfId="0" applyNumberFormat="1" applyFont="1" applyFill="1"/>
    <xf numFmtId="3" fontId="0" fillId="2" borderId="42" xfId="0" applyNumberFormat="1" applyFill="1" applyBorder="1"/>
    <xf numFmtId="3" fontId="2" fillId="2" borderId="47" xfId="0" applyNumberFormat="1" applyFont="1" applyFill="1" applyBorder="1"/>
    <xf numFmtId="3" fontId="2" fillId="2" borderId="48" xfId="0" applyNumberFormat="1" applyFont="1" applyFill="1" applyBorder="1"/>
    <xf numFmtId="3" fontId="2" fillId="2" borderId="41" xfId="0" applyNumberFormat="1" applyFont="1" applyFill="1" applyBorder="1"/>
    <xf numFmtId="0" fontId="6" fillId="2" borderId="19" xfId="0" applyFont="1" applyFill="1" applyBorder="1" applyAlignment="1">
      <alignment horizontal="center"/>
    </xf>
    <xf numFmtId="0" fontId="2" fillId="2" borderId="40" xfId="0" applyFont="1" applyFill="1" applyBorder="1"/>
    <xf numFmtId="0" fontId="6" fillId="2" borderId="40" xfId="0" applyFont="1" applyFill="1" applyBorder="1" applyAlignment="1">
      <alignment horizontal="center"/>
    </xf>
    <xf numFmtId="0" fontId="2" fillId="2" borderId="43" xfId="0" applyFont="1" applyFill="1" applyBorder="1"/>
    <xf numFmtId="0" fontId="0" fillId="2" borderId="43" xfId="0" applyFill="1" applyBorder="1" applyAlignment="1">
      <alignment horizontal="center"/>
    </xf>
    <xf numFmtId="0" fontId="0" fillId="2" borderId="19" xfId="0" applyFill="1" applyBorder="1" applyAlignment="1">
      <alignment horizontal="center"/>
    </xf>
    <xf numFmtId="0" fontId="6" fillId="2" borderId="63" xfId="0" applyFont="1" applyFill="1" applyBorder="1" applyAlignment="1">
      <alignment horizontal="center"/>
    </xf>
    <xf numFmtId="0" fontId="6" fillId="2" borderId="53" xfId="0" applyFont="1" applyFill="1" applyBorder="1" applyAlignment="1">
      <alignment horizontal="center"/>
    </xf>
    <xf numFmtId="0" fontId="6" fillId="2" borderId="41" xfId="0" applyFont="1" applyFill="1" applyBorder="1" applyAlignment="1">
      <alignment horizontal="center"/>
    </xf>
    <xf numFmtId="0" fontId="6" fillId="2" borderId="7" xfId="0" applyFont="1" applyFill="1" applyBorder="1" applyAlignment="1">
      <alignment horizontal="center"/>
    </xf>
    <xf numFmtId="0" fontId="0" fillId="2" borderId="65" xfId="0" applyFill="1" applyBorder="1" applyAlignment="1">
      <alignment horizontal="center"/>
    </xf>
    <xf numFmtId="0" fontId="0" fillId="2" borderId="67" xfId="0" applyFill="1" applyBorder="1"/>
    <xf numFmtId="0" fontId="2" fillId="2" borderId="65" xfId="0" applyFont="1" applyFill="1" applyBorder="1"/>
    <xf numFmtId="0" fontId="2" fillId="2" borderId="73" xfId="0" applyFont="1" applyFill="1" applyBorder="1"/>
    <xf numFmtId="0" fontId="2" fillId="2" borderId="21" xfId="0" applyFont="1" applyFill="1" applyBorder="1"/>
    <xf numFmtId="0" fontId="6" fillId="2" borderId="43" xfId="0" applyFont="1" applyFill="1" applyBorder="1"/>
    <xf numFmtId="0" fontId="6" fillId="2" borderId="47" xfId="0" applyFont="1" applyFill="1" applyBorder="1"/>
    <xf numFmtId="0" fontId="6" fillId="2" borderId="79" xfId="0" applyFont="1" applyFill="1" applyBorder="1"/>
    <xf numFmtId="0" fontId="2" fillId="2" borderId="14" xfId="0" applyFont="1" applyFill="1" applyBorder="1"/>
    <xf numFmtId="0" fontId="2" fillId="2" borderId="61" xfId="0" applyFont="1" applyFill="1" applyBorder="1" applyAlignment="1">
      <alignment horizontal="center"/>
    </xf>
    <xf numFmtId="1" fontId="0" fillId="2" borderId="15" xfId="0" applyNumberFormat="1" applyFill="1" applyBorder="1"/>
    <xf numFmtId="0" fontId="2" fillId="2" borderId="1" xfId="0" applyFont="1" applyFill="1" applyBorder="1"/>
    <xf numFmtId="0" fontId="2" fillId="2" borderId="88" xfId="0" quotePrefix="1" applyFont="1" applyFill="1" applyBorder="1" applyAlignment="1">
      <alignment horizontal="center"/>
    </xf>
    <xf numFmtId="0" fontId="0" fillId="2" borderId="49" xfId="0" applyFill="1" applyBorder="1" applyAlignment="1">
      <alignment horizontal="center"/>
    </xf>
    <xf numFmtId="0" fontId="2" fillId="2" borderId="56" xfId="0" applyFont="1" applyFill="1" applyBorder="1"/>
    <xf numFmtId="3" fontId="2" fillId="2" borderId="37" xfId="0" applyNumberFormat="1" applyFont="1" applyFill="1" applyBorder="1"/>
    <xf numFmtId="0" fontId="2" fillId="2" borderId="0" xfId="0" applyFont="1" applyFill="1" applyAlignment="1">
      <alignment horizontal="left"/>
    </xf>
    <xf numFmtId="0" fontId="0" fillId="2" borderId="0" xfId="0" quotePrefix="1" applyFill="1" applyAlignment="1">
      <alignment horizontal="left"/>
    </xf>
    <xf numFmtId="0" fontId="2" fillId="2" borderId="35" xfId="0" applyFont="1" applyFill="1" applyBorder="1" applyAlignment="1">
      <alignment horizontal="left" indent="2"/>
    </xf>
    <xf numFmtId="0" fontId="0" fillId="2" borderId="35" xfId="0" quotePrefix="1" applyFill="1" applyBorder="1" applyAlignment="1">
      <alignment horizontal="left" indent="4"/>
    </xf>
    <xf numFmtId="0" fontId="5" fillId="2" borderId="0" xfId="0" quotePrefix="1" applyFont="1" applyFill="1" applyAlignment="1">
      <alignment horizontal="left"/>
    </xf>
    <xf numFmtId="0" fontId="0" fillId="2" borderId="33" xfId="0" quotePrefix="1" applyFill="1" applyBorder="1" applyAlignment="1">
      <alignment horizontal="left" indent="4"/>
    </xf>
    <xf numFmtId="0" fontId="0" fillId="2" borderId="39" xfId="0" quotePrefix="1" applyFill="1" applyBorder="1" applyAlignment="1">
      <alignment horizontal="left"/>
    </xf>
    <xf numFmtId="0" fontId="2" fillId="2" borderId="62" xfId="0" quotePrefix="1" applyFont="1" applyFill="1" applyBorder="1" applyAlignment="1">
      <alignment horizontal="center"/>
    </xf>
    <xf numFmtId="0" fontId="2" fillId="2" borderId="27" xfId="0" applyFont="1" applyFill="1" applyBorder="1"/>
    <xf numFmtId="0" fontId="0" fillId="2" borderId="28" xfId="0" applyFill="1" applyBorder="1" applyAlignment="1">
      <alignment horizontal="left"/>
    </xf>
    <xf numFmtId="0" fontId="2" fillId="2" borderId="29" xfId="0" applyFont="1" applyFill="1" applyBorder="1" applyAlignment="1">
      <alignment horizontal="center"/>
    </xf>
    <xf numFmtId="0" fontId="0" fillId="2" borderId="35" xfId="0" applyFill="1" applyBorder="1" applyAlignment="1">
      <alignment horizontal="left" indent="2"/>
    </xf>
    <xf numFmtId="0" fontId="2" fillId="2" borderId="38" xfId="0" applyFont="1" applyFill="1" applyBorder="1"/>
    <xf numFmtId="0" fontId="0" fillId="2" borderId="39" xfId="0" applyFill="1" applyBorder="1" applyAlignment="1">
      <alignment horizontal="left"/>
    </xf>
    <xf numFmtId="1" fontId="0" fillId="2" borderId="37" xfId="0" applyNumberFormat="1" applyFill="1" applyBorder="1"/>
    <xf numFmtId="0" fontId="0" fillId="2" borderId="62" xfId="0" applyFill="1" applyBorder="1" applyAlignment="1">
      <alignment horizontal="center"/>
    </xf>
    <xf numFmtId="0" fontId="2" fillId="2" borderId="45" xfId="0" applyFont="1" applyFill="1" applyBorder="1"/>
    <xf numFmtId="0" fontId="0" fillId="2" borderId="46" xfId="0" applyFill="1" applyBorder="1" applyAlignment="1">
      <alignment horizontal="left"/>
    </xf>
    <xf numFmtId="0" fontId="0" fillId="2" borderId="61" xfId="0" applyFill="1" applyBorder="1" applyAlignment="1">
      <alignment horizontal="center"/>
    </xf>
    <xf numFmtId="0" fontId="2" fillId="2" borderId="46" xfId="0" applyFont="1" applyFill="1" applyBorder="1" applyAlignment="1">
      <alignment horizontal="left"/>
    </xf>
    <xf numFmtId="3" fontId="2" fillId="2" borderId="43" xfId="0" applyNumberFormat="1" applyFont="1" applyFill="1" applyBorder="1"/>
    <xf numFmtId="3" fontId="2" fillId="2" borderId="89" xfId="0" applyNumberFormat="1" applyFont="1" applyFill="1" applyBorder="1"/>
    <xf numFmtId="3" fontId="2" fillId="2" borderId="64" xfId="0" applyNumberFormat="1" applyFont="1" applyFill="1" applyBorder="1"/>
    <xf numFmtId="2" fontId="0" fillId="2" borderId="15" xfId="0" applyNumberFormat="1" applyFill="1" applyBorder="1"/>
    <xf numFmtId="2" fontId="0" fillId="2" borderId="37" xfId="0" applyNumberFormat="1" applyFill="1" applyBorder="1"/>
    <xf numFmtId="0" fontId="11" fillId="2" borderId="0" xfId="0" applyFont="1" applyFill="1" applyAlignment="1">
      <alignment horizontal="left"/>
    </xf>
    <xf numFmtId="0" fontId="11" fillId="2" borderId="0" xfId="0" applyFont="1" applyFill="1" applyAlignment="1">
      <alignment horizontal="center"/>
    </xf>
    <xf numFmtId="0" fontId="11" fillId="2" borderId="0" xfId="0" applyFont="1" applyFill="1" applyAlignment="1">
      <alignment vertical="center"/>
    </xf>
    <xf numFmtId="0" fontId="11" fillId="2" borderId="0" xfId="0" applyFont="1" applyFill="1" applyAlignment="1">
      <alignment horizontal="left" vertical="center"/>
    </xf>
    <xf numFmtId="0" fontId="11" fillId="2" borderId="0" xfId="0" quotePrefix="1" applyFont="1" applyFill="1" applyAlignment="1">
      <alignment horizontal="center" vertical="center"/>
    </xf>
    <xf numFmtId="3" fontId="11" fillId="2" borderId="0" xfId="0" applyNumberFormat="1" applyFont="1" applyFill="1" applyAlignment="1">
      <alignment vertical="center"/>
    </xf>
    <xf numFmtId="0" fontId="0" fillId="2" borderId="0" xfId="0" applyFill="1" applyAlignment="1">
      <alignment vertical="center"/>
    </xf>
    <xf numFmtId="0" fontId="2" fillId="2" borderId="56" xfId="0" applyFont="1" applyFill="1" applyBorder="1" applyAlignment="1">
      <alignment horizontal="center"/>
    </xf>
    <xf numFmtId="167" fontId="30" fillId="2" borderId="37" xfId="1" applyNumberFormat="1" applyFont="1" applyFill="1" applyBorder="1"/>
    <xf numFmtId="0" fontId="0" fillId="2" borderId="35" xfId="0" applyFill="1" applyBorder="1" applyAlignment="1">
      <alignment horizontal="center"/>
    </xf>
    <xf numFmtId="0" fontId="2" fillId="2" borderId="35" xfId="0" applyFont="1" applyFill="1" applyBorder="1" applyAlignment="1">
      <alignment horizontal="center"/>
    </xf>
    <xf numFmtId="3" fontId="0" fillId="9" borderId="15" xfId="0" applyNumberFormat="1" applyFill="1" applyBorder="1"/>
    <xf numFmtId="3" fontId="0" fillId="9" borderId="23" xfId="0" applyNumberFormat="1" applyFill="1" applyBorder="1"/>
    <xf numFmtId="0" fontId="0" fillId="9" borderId="15" xfId="0" applyFill="1" applyBorder="1"/>
    <xf numFmtId="0" fontId="0" fillId="9" borderId="18" xfId="0" applyFill="1" applyBorder="1"/>
    <xf numFmtId="0" fontId="0" fillId="9" borderId="11" xfId="0" applyFill="1" applyBorder="1"/>
    <xf numFmtId="0" fontId="0" fillId="9" borderId="23" xfId="0" applyFill="1" applyBorder="1"/>
    <xf numFmtId="0" fontId="0" fillId="9" borderId="25" xfId="0" applyFill="1" applyBorder="1"/>
    <xf numFmtId="0" fontId="0" fillId="9" borderId="9" xfId="0" applyFill="1" applyBorder="1"/>
    <xf numFmtId="3" fontId="0" fillId="7" borderId="13" xfId="0" applyNumberFormat="1" applyFill="1" applyBorder="1"/>
    <xf numFmtId="0" fontId="0" fillId="2" borderId="43" xfId="0" applyFill="1" applyBorder="1"/>
    <xf numFmtId="167" fontId="30" fillId="2" borderId="43" xfId="1" applyNumberFormat="1" applyFont="1" applyFill="1" applyBorder="1"/>
    <xf numFmtId="167" fontId="30" fillId="2" borderId="44" xfId="1" applyNumberFormat="1" applyFont="1" applyFill="1" applyBorder="1"/>
    <xf numFmtId="10" fontId="5" fillId="2" borderId="15" xfId="0" applyNumberFormat="1" applyFont="1" applyFill="1" applyBorder="1" applyAlignment="1">
      <alignment horizontal="center"/>
    </xf>
    <xf numFmtId="3" fontId="2" fillId="2" borderId="23" xfId="0" applyNumberFormat="1" applyFont="1" applyFill="1" applyBorder="1"/>
    <xf numFmtId="10" fontId="6" fillId="7" borderId="15" xfId="0" applyNumberFormat="1" applyFont="1" applyFill="1" applyBorder="1"/>
    <xf numFmtId="0" fontId="0" fillId="2" borderId="91" xfId="0" applyFill="1" applyBorder="1"/>
    <xf numFmtId="0" fontId="2" fillId="2" borderId="91" xfId="0" applyFont="1" applyFill="1" applyBorder="1"/>
    <xf numFmtId="0" fontId="0" fillId="2" borderId="91" xfId="0" applyFill="1" applyBorder="1" applyAlignment="1">
      <alignment horizontal="center"/>
    </xf>
    <xf numFmtId="3" fontId="2" fillId="2" borderId="91" xfId="0" applyNumberFormat="1" applyFont="1" applyFill="1" applyBorder="1"/>
    <xf numFmtId="0" fontId="5" fillId="2" borderId="52" xfId="0" applyFont="1" applyFill="1" applyBorder="1"/>
    <xf numFmtId="0" fontId="5" fillId="2" borderId="15" xfId="0" applyFont="1" applyFill="1" applyBorder="1"/>
    <xf numFmtId="0" fontId="5" fillId="2" borderId="37" xfId="0" applyFont="1" applyFill="1" applyBorder="1"/>
    <xf numFmtId="0" fontId="5" fillId="2" borderId="11" xfId="0" applyFont="1" applyFill="1" applyBorder="1"/>
    <xf numFmtId="0" fontId="5" fillId="7" borderId="52" xfId="0" applyFont="1" applyFill="1" applyBorder="1"/>
    <xf numFmtId="0" fontId="5" fillId="7" borderId="15" xfId="0" applyFont="1" applyFill="1" applyBorder="1"/>
    <xf numFmtId="10" fontId="5" fillId="7" borderId="15" xfId="1" applyNumberFormat="1" applyFont="1" applyFill="1" applyBorder="1"/>
    <xf numFmtId="0" fontId="5" fillId="7" borderId="37" xfId="0" applyFont="1" applyFill="1" applyBorder="1"/>
    <xf numFmtId="0" fontId="5" fillId="7" borderId="11" xfId="0" applyFont="1" applyFill="1" applyBorder="1"/>
    <xf numFmtId="4" fontId="5" fillId="2" borderId="52" xfId="0" applyNumberFormat="1" applyFont="1" applyFill="1" applyBorder="1"/>
    <xf numFmtId="4" fontId="5" fillId="2" borderId="15" xfId="0" applyNumberFormat="1" applyFont="1" applyFill="1" applyBorder="1"/>
    <xf numFmtId="10" fontId="5" fillId="2" borderId="15" xfId="1" applyNumberFormat="1" applyFont="1" applyFill="1" applyBorder="1"/>
    <xf numFmtId="4" fontId="5" fillId="7" borderId="15" xfId="0" applyNumberFormat="1" applyFont="1" applyFill="1" applyBorder="1"/>
    <xf numFmtId="4" fontId="5" fillId="2" borderId="37" xfId="0" applyNumberFormat="1" applyFont="1" applyFill="1" applyBorder="1"/>
    <xf numFmtId="4" fontId="5" fillId="2" borderId="11" xfId="0" applyNumberFormat="1" applyFont="1" applyFill="1" applyBorder="1"/>
    <xf numFmtId="4" fontId="5" fillId="2" borderId="54" xfId="0" applyNumberFormat="1" applyFont="1" applyFill="1" applyBorder="1"/>
    <xf numFmtId="10" fontId="39" fillId="2" borderId="15" xfId="1" applyNumberFormat="1" applyFont="1" applyFill="1" applyBorder="1"/>
    <xf numFmtId="0" fontId="40" fillId="2" borderId="15" xfId="0" applyFont="1" applyFill="1" applyBorder="1"/>
    <xf numFmtId="10" fontId="39" fillId="2" borderId="37" xfId="1" applyNumberFormat="1" applyFont="1" applyFill="1" applyBorder="1"/>
    <xf numFmtId="3" fontId="0" fillId="2" borderId="15" xfId="0" quotePrefix="1" applyNumberFormat="1" applyFill="1" applyBorder="1"/>
    <xf numFmtId="0" fontId="2" fillId="2" borderId="33" xfId="0" applyFont="1" applyFill="1" applyBorder="1"/>
    <xf numFmtId="0" fontId="2" fillId="2" borderId="1" xfId="0" applyFont="1" applyFill="1" applyBorder="1" applyAlignment="1">
      <alignment horizontal="left"/>
    </xf>
    <xf numFmtId="0" fontId="2" fillId="2" borderId="10" xfId="0" quotePrefix="1" applyFont="1" applyFill="1" applyBorder="1" applyAlignment="1">
      <alignment horizontal="center"/>
    </xf>
    <xf numFmtId="3" fontId="2" fillId="2" borderId="51" xfId="0" applyNumberFormat="1" applyFont="1" applyFill="1" applyBorder="1"/>
    <xf numFmtId="0" fontId="0" fillId="2" borderId="0" xfId="0" quotePrefix="1" applyFill="1" applyAlignment="1">
      <alignment horizontal="center"/>
    </xf>
    <xf numFmtId="3" fontId="0" fillId="2" borderId="37" xfId="0" quotePrefix="1" applyNumberFormat="1" applyFill="1" applyBorder="1"/>
    <xf numFmtId="0" fontId="5" fillId="2" borderId="15" xfId="0" applyFont="1" applyFill="1" applyBorder="1" applyAlignment="1">
      <alignment horizontal="right"/>
    </xf>
    <xf numFmtId="0" fontId="0" fillId="2" borderId="15" xfId="0" applyFill="1" applyBorder="1" applyAlignment="1">
      <alignment horizontal="left" vertical="center" wrapText="1"/>
    </xf>
    <xf numFmtId="3" fontId="0" fillId="2" borderId="12" xfId="0" applyNumberFormat="1" applyFill="1" applyBorder="1"/>
    <xf numFmtId="3" fontId="0" fillId="2" borderId="13" xfId="0" applyNumberFormat="1" applyFill="1" applyBorder="1"/>
    <xf numFmtId="0" fontId="0" fillId="2" borderId="10" xfId="0" applyFill="1" applyBorder="1"/>
    <xf numFmtId="164" fontId="5" fillId="2" borderId="15" xfId="1" applyNumberFormat="1" applyFont="1" applyFill="1" applyBorder="1"/>
    <xf numFmtId="164" fontId="5" fillId="2" borderId="37" xfId="1" applyNumberFormat="1" applyFont="1" applyFill="1" applyBorder="1"/>
    <xf numFmtId="4" fontId="0" fillId="2" borderId="15" xfId="0" applyNumberFormat="1" applyFill="1" applyBorder="1"/>
    <xf numFmtId="4" fontId="0" fillId="2" borderId="37" xfId="0" applyNumberFormat="1" applyFill="1" applyBorder="1"/>
    <xf numFmtId="0" fontId="2" fillId="2" borderId="15" xfId="0" applyFont="1" applyFill="1" applyBorder="1" applyAlignment="1">
      <alignment horizontal="center"/>
    </xf>
    <xf numFmtId="3" fontId="2" fillId="2" borderId="18" xfId="0" applyNumberFormat="1" applyFont="1" applyFill="1" applyBorder="1" applyAlignment="1">
      <alignment horizontal="right"/>
    </xf>
    <xf numFmtId="1" fontId="5" fillId="2" borderId="15" xfId="0" applyNumberFormat="1" applyFont="1" applyFill="1" applyBorder="1" applyAlignment="1">
      <alignment horizontal="center"/>
    </xf>
    <xf numFmtId="0" fontId="2" fillId="2" borderId="34" xfId="0" applyFont="1" applyFill="1" applyBorder="1" applyAlignment="1">
      <alignment horizontal="right"/>
    </xf>
    <xf numFmtId="0" fontId="2" fillId="3" borderId="27" xfId="0" applyFont="1" applyFill="1" applyBorder="1"/>
    <xf numFmtId="0" fontId="0" fillId="3" borderId="1" xfId="0" applyFill="1" applyBorder="1"/>
    <xf numFmtId="0" fontId="0" fillId="2" borderId="0" xfId="0" applyFill="1" applyAlignment="1">
      <alignment horizontal="right"/>
    </xf>
    <xf numFmtId="0" fontId="2" fillId="2" borderId="15" xfId="0" applyFont="1" applyFill="1" applyBorder="1" applyAlignment="1">
      <alignment horizontal="center" vertical="center"/>
    </xf>
    <xf numFmtId="3" fontId="2" fillId="2" borderId="21" xfId="0" applyNumberFormat="1" applyFont="1" applyFill="1" applyBorder="1"/>
    <xf numFmtId="0" fontId="0" fillId="2" borderId="0" xfId="0" applyFill="1" applyAlignment="1">
      <alignment horizontal="left" wrapText="1"/>
    </xf>
    <xf numFmtId="164" fontId="0" fillId="2" borderId="15" xfId="1" applyNumberFormat="1" applyFont="1" applyFill="1" applyBorder="1"/>
    <xf numFmtId="164" fontId="2" fillId="2" borderId="15" xfId="1" applyNumberFormat="1" applyFont="1" applyFill="1" applyBorder="1"/>
    <xf numFmtId="164" fontId="0" fillId="2" borderId="37" xfId="1" applyNumberFormat="1" applyFont="1" applyFill="1" applyBorder="1"/>
    <xf numFmtId="166" fontId="0" fillId="2" borderId="15" xfId="0" applyNumberFormat="1" applyFill="1" applyBorder="1"/>
    <xf numFmtId="166" fontId="0" fillId="2" borderId="37" xfId="0" applyNumberFormat="1" applyFill="1" applyBorder="1"/>
    <xf numFmtId="0" fontId="27" fillId="2" borderId="15" xfId="0" applyFont="1" applyFill="1" applyBorder="1" applyAlignment="1">
      <alignment horizontal="right"/>
    </xf>
    <xf numFmtId="0" fontId="27" fillId="2" borderId="37" xfId="0" applyFont="1" applyFill="1" applyBorder="1" applyAlignment="1">
      <alignment horizontal="right"/>
    </xf>
    <xf numFmtId="0" fontId="14" fillId="2" borderId="0" xfId="0" applyFont="1" applyFill="1"/>
    <xf numFmtId="0" fontId="6" fillId="2" borderId="24" xfId="0" applyFont="1" applyFill="1" applyBorder="1" applyAlignment="1">
      <alignment horizontal="right"/>
    </xf>
    <xf numFmtId="3" fontId="0" fillId="2" borderId="15" xfId="0" applyNumberFormat="1" applyFill="1" applyBorder="1" applyAlignment="1">
      <alignment horizontal="right"/>
    </xf>
    <xf numFmtId="1" fontId="2" fillId="2" borderId="15" xfId="0" applyNumberFormat="1" applyFont="1" applyFill="1" applyBorder="1"/>
    <xf numFmtId="0" fontId="33" fillId="2" borderId="0" xfId="0" applyFont="1" applyFill="1"/>
    <xf numFmtId="0" fontId="2" fillId="2" borderId="37" xfId="0" applyFont="1" applyFill="1" applyBorder="1"/>
    <xf numFmtId="1" fontId="2" fillId="2" borderId="37" xfId="0" applyNumberFormat="1" applyFont="1" applyFill="1" applyBorder="1"/>
    <xf numFmtId="0" fontId="0" fillId="7" borderId="35" xfId="0" applyFill="1" applyBorder="1"/>
    <xf numFmtId="3" fontId="0" fillId="7" borderId="37" xfId="0" applyNumberFormat="1" applyFill="1" applyBorder="1"/>
    <xf numFmtId="0" fontId="2" fillId="2" borderId="52" xfId="0" applyFont="1" applyFill="1" applyBorder="1"/>
    <xf numFmtId="0" fontId="6" fillId="2" borderId="0" xfId="0" applyFont="1" applyFill="1"/>
    <xf numFmtId="0" fontId="5" fillId="2" borderId="0" xfId="0" applyFont="1" applyFill="1" applyAlignment="1">
      <alignment horizontal="left"/>
    </xf>
    <xf numFmtId="0" fontId="6" fillId="2" borderId="19" xfId="0" applyFont="1" applyFill="1" applyBorder="1" applyAlignment="1">
      <alignment horizontal="right"/>
    </xf>
    <xf numFmtId="10" fontId="0" fillId="2" borderId="15" xfId="0" applyNumberFormat="1" applyFill="1" applyBorder="1" applyAlignment="1">
      <alignment horizontal="center"/>
    </xf>
    <xf numFmtId="0" fontId="2" fillId="2" borderId="15" xfId="0" applyFont="1" applyFill="1" applyBorder="1" applyAlignment="1">
      <alignment horizontal="right"/>
    </xf>
    <xf numFmtId="0" fontId="0" fillId="2" borderId="15" xfId="0" applyFill="1" applyBorder="1" applyAlignment="1">
      <alignment horizontal="right"/>
    </xf>
    <xf numFmtId="0" fontId="0" fillId="2" borderId="18" xfId="0" applyFill="1" applyBorder="1" applyAlignment="1">
      <alignment horizontal="right"/>
    </xf>
    <xf numFmtId="0" fontId="0" fillId="2" borderId="23" xfId="0" applyFill="1" applyBorder="1" applyAlignment="1">
      <alignment horizontal="right"/>
    </xf>
    <xf numFmtId="10" fontId="0" fillId="2" borderId="15" xfId="1" applyNumberFormat="1" applyFont="1" applyFill="1" applyBorder="1" applyAlignment="1">
      <alignment horizontal="center"/>
    </xf>
    <xf numFmtId="10" fontId="0" fillId="2" borderId="23" xfId="1" applyNumberFormat="1" applyFont="1" applyFill="1" applyBorder="1" applyAlignment="1">
      <alignment horizontal="center"/>
    </xf>
    <xf numFmtId="0" fontId="14" fillId="7" borderId="91" xfId="0" applyFont="1" applyFill="1" applyBorder="1" applyAlignment="1">
      <alignment horizontal="right"/>
    </xf>
    <xf numFmtId="0" fontId="34" fillId="7" borderId="91" xfId="0" applyFont="1" applyFill="1" applyBorder="1"/>
    <xf numFmtId="0" fontId="34" fillId="7" borderId="91" xfId="0" applyFont="1" applyFill="1" applyBorder="1" applyAlignment="1">
      <alignment horizontal="center"/>
    </xf>
    <xf numFmtId="3" fontId="34" fillId="7" borderId="91" xfId="0" applyNumberFormat="1" applyFont="1" applyFill="1" applyBorder="1"/>
    <xf numFmtId="10" fontId="5" fillId="2" borderId="18" xfId="0" applyNumberFormat="1" applyFont="1" applyFill="1" applyBorder="1" applyAlignment="1">
      <alignment horizontal="center"/>
    </xf>
    <xf numFmtId="10" fontId="5" fillId="2" borderId="15" xfId="1" applyNumberFormat="1" applyFont="1" applyFill="1" applyBorder="1" applyAlignment="1">
      <alignment horizontal="center"/>
    </xf>
    <xf numFmtId="10" fontId="5" fillId="2" borderId="0" xfId="1" applyNumberFormat="1" applyFont="1" applyFill="1" applyAlignment="1">
      <alignment horizontal="center"/>
    </xf>
    <xf numFmtId="0" fontId="33" fillId="2" borderId="0" xfId="0" applyFont="1" applyFill="1" applyAlignment="1">
      <alignment horizontal="center"/>
    </xf>
    <xf numFmtId="3" fontId="2" fillId="2" borderId="0" xfId="0" applyNumberFormat="1" applyFont="1" applyFill="1"/>
    <xf numFmtId="0" fontId="0" fillId="2" borderId="15" xfId="0" applyFill="1" applyBorder="1" applyAlignment="1">
      <alignment horizontal="left"/>
    </xf>
    <xf numFmtId="167" fontId="0" fillId="2" borderId="15" xfId="0" applyNumberFormat="1" applyFill="1" applyBorder="1"/>
    <xf numFmtId="10" fontId="0" fillId="2" borderId="15" xfId="1" applyNumberFormat="1" applyFont="1" applyFill="1" applyBorder="1"/>
    <xf numFmtId="0" fontId="0" fillId="2" borderId="23" xfId="0" applyFill="1" applyBorder="1" applyAlignment="1">
      <alignment horizontal="left"/>
    </xf>
    <xf numFmtId="167" fontId="0" fillId="2" borderId="23" xfId="0" applyNumberFormat="1" applyFill="1" applyBorder="1"/>
    <xf numFmtId="10" fontId="0" fillId="2" borderId="23" xfId="1" applyNumberFormat="1" applyFont="1" applyFill="1" applyBorder="1"/>
    <xf numFmtId="0" fontId="0" fillId="2" borderId="18" xfId="0" applyFill="1" applyBorder="1" applyAlignment="1">
      <alignment horizontal="left"/>
    </xf>
    <xf numFmtId="167" fontId="0" fillId="2" borderId="18" xfId="0" applyNumberFormat="1" applyFill="1" applyBorder="1"/>
    <xf numFmtId="10" fontId="0" fillId="2" borderId="18" xfId="1" applyNumberFormat="1" applyFont="1" applyFill="1" applyBorder="1"/>
    <xf numFmtId="0" fontId="2" fillId="2" borderId="11" xfId="0" applyFont="1" applyFill="1" applyBorder="1"/>
    <xf numFmtId="0" fontId="2" fillId="7" borderId="20" xfId="0" applyFont="1" applyFill="1" applyBorder="1" applyAlignment="1">
      <alignment horizontal="left"/>
    </xf>
    <xf numFmtId="0" fontId="2" fillId="7" borderId="20" xfId="0" applyFont="1" applyFill="1" applyBorder="1"/>
    <xf numFmtId="0" fontId="2" fillId="7" borderId="16" xfId="0" applyFont="1" applyFill="1" applyBorder="1"/>
    <xf numFmtId="0" fontId="0" fillId="2" borderId="34" xfId="0" applyFill="1" applyBorder="1"/>
    <xf numFmtId="0" fontId="2" fillId="2" borderId="9" xfId="0" applyFont="1" applyFill="1" applyBorder="1"/>
    <xf numFmtId="0" fontId="2" fillId="2" borderId="34" xfId="0" applyFont="1" applyFill="1" applyBorder="1"/>
    <xf numFmtId="0" fontId="2" fillId="2" borderId="7" xfId="0" applyFont="1" applyFill="1" applyBorder="1" applyAlignment="1">
      <alignment horizontal="left"/>
    </xf>
    <xf numFmtId="10" fontId="5" fillId="2" borderId="15" xfId="0" applyNumberFormat="1" applyFont="1" applyFill="1" applyBorder="1" applyAlignment="1">
      <alignment horizontal="right"/>
    </xf>
    <xf numFmtId="167" fontId="2" fillId="2" borderId="18" xfId="0" applyNumberFormat="1" applyFont="1" applyFill="1" applyBorder="1"/>
    <xf numFmtId="10" fontId="2" fillId="2" borderId="18" xfId="1" applyNumberFormat="1" applyFont="1" applyFill="1" applyBorder="1"/>
    <xf numFmtId="167" fontId="2" fillId="7" borderId="18" xfId="0" applyNumberFormat="1" applyFont="1" applyFill="1" applyBorder="1"/>
    <xf numFmtId="10" fontId="2" fillId="7" borderId="18" xfId="1" applyNumberFormat="1" applyFont="1" applyFill="1" applyBorder="1"/>
    <xf numFmtId="0" fontId="7" fillId="8" borderId="0" xfId="0" applyFont="1" applyFill="1" applyAlignment="1">
      <alignment horizontal="center"/>
    </xf>
    <xf numFmtId="165" fontId="6" fillId="3" borderId="3" xfId="0" applyNumberFormat="1" applyFont="1" applyFill="1" applyBorder="1"/>
    <xf numFmtId="164" fontId="0" fillId="9" borderId="0" xfId="0" applyNumberFormat="1" applyFill="1"/>
    <xf numFmtId="0" fontId="33" fillId="8" borderId="0" xfId="0" applyFont="1" applyFill="1" applyAlignment="1">
      <alignment horizontal="center"/>
    </xf>
    <xf numFmtId="0" fontId="0" fillId="3" borderId="27" xfId="0" applyFill="1" applyBorder="1"/>
    <xf numFmtId="0" fontId="0" fillId="3" borderId="10" xfId="0" applyFill="1" applyBorder="1"/>
    <xf numFmtId="0" fontId="0" fillId="3" borderId="35" xfId="0" applyFill="1" applyBorder="1"/>
    <xf numFmtId="0" fontId="0" fillId="3" borderId="0" xfId="0" applyFill="1"/>
    <xf numFmtId="0" fontId="0" fillId="3" borderId="33" xfId="0" applyFill="1" applyBorder="1"/>
    <xf numFmtId="0" fontId="25" fillId="3" borderId="33" xfId="0" applyFont="1" applyFill="1" applyBorder="1" applyAlignment="1">
      <alignment horizontal="right"/>
    </xf>
    <xf numFmtId="0" fontId="25" fillId="3" borderId="34" xfId="0" applyFont="1" applyFill="1" applyBorder="1" applyAlignment="1">
      <alignment horizontal="right"/>
    </xf>
    <xf numFmtId="0" fontId="35" fillId="3" borderId="35" xfId="0" applyFont="1" applyFill="1" applyBorder="1"/>
    <xf numFmtId="0" fontId="0" fillId="3" borderId="28" xfId="0" applyFill="1" applyBorder="1" applyAlignment="1">
      <alignment horizontal="left"/>
    </xf>
    <xf numFmtId="0" fontId="0" fillId="3" borderId="28" xfId="0" applyFill="1" applyBorder="1" applyAlignment="1">
      <alignment horizontal="center"/>
    </xf>
    <xf numFmtId="0" fontId="36" fillId="3" borderId="0" xfId="0" applyFont="1" applyFill="1" applyAlignment="1">
      <alignment horizontal="left"/>
    </xf>
    <xf numFmtId="0" fontId="36" fillId="3" borderId="0" xfId="0" applyFont="1" applyFill="1" applyAlignment="1">
      <alignment horizontal="center"/>
    </xf>
    <xf numFmtId="0" fontId="5" fillId="3" borderId="9" xfId="0" applyFont="1" applyFill="1" applyBorder="1" applyAlignment="1">
      <alignment horizontal="center"/>
    </xf>
    <xf numFmtId="0" fontId="2" fillId="3" borderId="24" xfId="0" applyFont="1" applyFill="1" applyBorder="1"/>
    <xf numFmtId="0" fontId="2" fillId="3" borderId="18" xfId="0" applyFont="1" applyFill="1" applyBorder="1"/>
    <xf numFmtId="0" fontId="2" fillId="3" borderId="15" xfId="0" applyFont="1" applyFill="1" applyBorder="1"/>
    <xf numFmtId="0" fontId="6" fillId="3" borderId="15"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0" fillId="3" borderId="15" xfId="0" applyFill="1" applyBorder="1"/>
    <xf numFmtId="0" fontId="6" fillId="3" borderId="15" xfId="0" applyFont="1" applyFill="1" applyBorder="1" applyAlignment="1">
      <alignment horizontal="center"/>
    </xf>
    <xf numFmtId="0" fontId="0" fillId="3" borderId="11" xfId="0" applyFill="1" applyBorder="1"/>
    <xf numFmtId="0" fontId="6" fillId="3" borderId="52" xfId="0" applyFont="1" applyFill="1" applyBorder="1" applyAlignment="1">
      <alignment horizontal="center"/>
    </xf>
    <xf numFmtId="0" fontId="0" fillId="3" borderId="37" xfId="0" applyFill="1" applyBorder="1"/>
    <xf numFmtId="0" fontId="38" fillId="3" borderId="24" xfId="0" applyFont="1" applyFill="1" applyBorder="1"/>
    <xf numFmtId="0" fontId="0" fillId="3" borderId="19" xfId="0" applyFill="1" applyBorder="1"/>
    <xf numFmtId="0" fontId="0" fillId="3" borderId="18" xfId="0" applyFill="1" applyBorder="1"/>
    <xf numFmtId="0" fontId="38" fillId="3" borderId="19" xfId="0" applyFont="1" applyFill="1" applyBorder="1"/>
    <xf numFmtId="0" fontId="34" fillId="3" borderId="19" xfId="0" applyFont="1" applyFill="1" applyBorder="1"/>
    <xf numFmtId="0" fontId="34" fillId="3" borderId="70" xfId="0" applyFont="1" applyFill="1" applyBorder="1"/>
    <xf numFmtId="0" fontId="0" fillId="3" borderId="71" xfId="0" applyFill="1" applyBorder="1"/>
    <xf numFmtId="0" fontId="38" fillId="3" borderId="77" xfId="0" applyFont="1" applyFill="1" applyBorder="1"/>
    <xf numFmtId="0" fontId="0" fillId="3" borderId="46" xfId="0" applyFill="1" applyBorder="1"/>
    <xf numFmtId="0" fontId="37" fillId="3" borderId="77" xfId="0" applyFont="1" applyFill="1" applyBorder="1" applyAlignment="1">
      <alignment horizontal="center"/>
    </xf>
    <xf numFmtId="0" fontId="0" fillId="3" borderId="27" xfId="0" applyFill="1" applyBorder="1" applyAlignment="1">
      <alignment horizontal="center"/>
    </xf>
    <xf numFmtId="0" fontId="2" fillId="3" borderId="29" xfId="0" applyFont="1" applyFill="1" applyBorder="1"/>
    <xf numFmtId="0" fontId="0" fillId="3" borderId="35" xfId="0" applyFill="1" applyBorder="1" applyAlignment="1">
      <alignment horizontal="center"/>
    </xf>
    <xf numFmtId="0" fontId="0" fillId="3" borderId="8" xfId="0" applyFill="1" applyBorder="1"/>
    <xf numFmtId="0" fontId="0" fillId="3" borderId="33" xfId="0" applyFill="1" applyBorder="1" applyAlignment="1">
      <alignment horizontal="center"/>
    </xf>
    <xf numFmtId="0" fontId="5" fillId="3" borderId="10" xfId="0" applyFont="1" applyFill="1" applyBorder="1" applyAlignment="1">
      <alignment horizontal="center"/>
    </xf>
    <xf numFmtId="0" fontId="5" fillId="3" borderId="1" xfId="0" applyFont="1" applyFill="1" applyBorder="1" applyAlignment="1">
      <alignment horizontal="center"/>
    </xf>
    <xf numFmtId="0" fontId="5" fillId="3" borderId="34" xfId="0" applyFont="1" applyFill="1" applyBorder="1" applyAlignment="1">
      <alignment horizontal="center"/>
    </xf>
    <xf numFmtId="0" fontId="2" fillId="3" borderId="1" xfId="0" applyFont="1" applyFill="1" applyBorder="1"/>
    <xf numFmtId="0" fontId="2" fillId="3" borderId="11" xfId="0" applyFont="1" applyFill="1" applyBorder="1"/>
    <xf numFmtId="0" fontId="2" fillId="3" borderId="13" xfId="0" applyFont="1" applyFill="1" applyBorder="1"/>
    <xf numFmtId="0" fontId="2" fillId="3" borderId="12" xfId="0" applyFont="1" applyFill="1" applyBorder="1"/>
    <xf numFmtId="0" fontId="2" fillId="3" borderId="55" xfId="0" applyFont="1" applyFill="1" applyBorder="1"/>
    <xf numFmtId="0" fontId="2" fillId="3" borderId="15" xfId="0" applyFont="1" applyFill="1" applyBorder="1" applyAlignment="1">
      <alignment horizontal="right"/>
    </xf>
    <xf numFmtId="0" fontId="6" fillId="3" borderId="15" xfId="0" applyFont="1" applyFill="1" applyBorder="1" applyAlignment="1">
      <alignment horizontal="right"/>
    </xf>
    <xf numFmtId="0" fontId="0" fillId="3" borderId="4" xfId="0" applyFill="1" applyBorder="1"/>
    <xf numFmtId="0" fontId="0" fillId="3" borderId="6" xfId="0" applyFill="1" applyBorder="1"/>
    <xf numFmtId="0" fontId="6" fillId="3" borderId="24" xfId="0" applyFont="1" applyFill="1" applyBorder="1" applyAlignment="1">
      <alignment horizontal="center"/>
    </xf>
    <xf numFmtId="0" fontId="6" fillId="3" borderId="6" xfId="0" applyFont="1" applyFill="1" applyBorder="1" applyAlignment="1">
      <alignment horizontal="center"/>
    </xf>
    <xf numFmtId="0" fontId="0" fillId="3" borderId="7" xfId="0" applyFill="1" applyBorder="1"/>
    <xf numFmtId="0" fontId="33" fillId="3" borderId="19"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2" fillId="3" borderId="9" xfId="0" applyFont="1" applyFill="1" applyBorder="1"/>
    <xf numFmtId="0" fontId="6" fillId="3" borderId="18" xfId="0" applyFont="1" applyFill="1" applyBorder="1" applyAlignment="1">
      <alignment horizontal="center"/>
    </xf>
    <xf numFmtId="0" fontId="6" fillId="3" borderId="9" xfId="0" applyFont="1" applyFill="1" applyBorder="1" applyAlignment="1">
      <alignment horizontal="center"/>
    </xf>
    <xf numFmtId="0" fontId="6" fillId="3" borderId="10" xfId="0" applyFont="1" applyFill="1" applyBorder="1" applyAlignment="1">
      <alignment horizontal="center"/>
    </xf>
    <xf numFmtId="0" fontId="2" fillId="3" borderId="28" xfId="0" applyFont="1" applyFill="1" applyBorder="1"/>
    <xf numFmtId="0" fontId="0" fillId="3" borderId="29" xfId="0" applyFill="1" applyBorder="1" applyAlignment="1">
      <alignment horizontal="center"/>
    </xf>
    <xf numFmtId="0" fontId="0" fillId="3" borderId="10" xfId="0" applyFill="1" applyBorder="1" applyAlignment="1">
      <alignment horizontal="center"/>
    </xf>
    <xf numFmtId="0" fontId="0" fillId="3" borderId="1" xfId="0" applyFill="1" applyBorder="1" applyAlignment="1">
      <alignment horizontal="center"/>
    </xf>
    <xf numFmtId="0" fontId="0" fillId="3" borderId="12" xfId="0" applyFill="1" applyBorder="1"/>
    <xf numFmtId="0" fontId="0" fillId="3" borderId="13" xfId="0" applyFill="1" applyBorder="1"/>
    <xf numFmtId="0" fontId="6" fillId="3" borderId="13" xfId="0" applyFont="1" applyFill="1" applyBorder="1" applyAlignment="1">
      <alignment horizontal="center"/>
    </xf>
    <xf numFmtId="17" fontId="6" fillId="3" borderId="15" xfId="0" applyNumberFormat="1" applyFont="1" applyFill="1" applyBorder="1"/>
    <xf numFmtId="0" fontId="6" fillId="3" borderId="11" xfId="0" applyFont="1" applyFill="1" applyBorder="1" applyAlignment="1">
      <alignment horizontal="right"/>
    </xf>
    <xf numFmtId="0" fontId="2" fillId="3" borderId="89" xfId="0" applyFont="1" applyFill="1" applyBorder="1"/>
    <xf numFmtId="17" fontId="6" fillId="3" borderId="89" xfId="0" applyNumberFormat="1" applyFont="1" applyFill="1" applyBorder="1"/>
    <xf numFmtId="17" fontId="6" fillId="3" borderId="64" xfId="0" applyNumberFormat="1" applyFont="1" applyFill="1" applyBorder="1"/>
    <xf numFmtId="17" fontId="6" fillId="3" borderId="37" xfId="0" applyNumberFormat="1" applyFont="1" applyFill="1" applyBorder="1"/>
    <xf numFmtId="0" fontId="2" fillId="3" borderId="93" xfId="0" applyFont="1" applyFill="1" applyBorder="1"/>
    <xf numFmtId="17" fontId="6" fillId="3" borderId="15" xfId="0" applyNumberFormat="1" applyFont="1" applyFill="1" applyBorder="1" applyAlignment="1">
      <alignment horizontal="right"/>
    </xf>
    <xf numFmtId="0" fontId="0" fillId="3" borderId="91" xfId="0" applyFill="1" applyBorder="1" applyAlignment="1">
      <alignment horizontal="right"/>
    </xf>
    <xf numFmtId="0" fontId="2" fillId="3" borderId="91" xfId="0" applyFont="1" applyFill="1" applyBorder="1"/>
    <xf numFmtId="10" fontId="2" fillId="3" borderId="91" xfId="0" applyNumberFormat="1" applyFont="1" applyFill="1" applyBorder="1" applyAlignment="1">
      <alignment horizontal="center"/>
    </xf>
    <xf numFmtId="3" fontId="2" fillId="3" borderId="91" xfId="0" applyNumberFormat="1" applyFont="1" applyFill="1" applyBorder="1"/>
    <xf numFmtId="165" fontId="5" fillId="3" borderId="5" xfId="0" applyNumberFormat="1" applyFont="1" applyFill="1" applyBorder="1"/>
    <xf numFmtId="165" fontId="5" fillId="3" borderId="0" xfId="0" applyNumberFormat="1" applyFont="1" applyFill="1"/>
    <xf numFmtId="165" fontId="5" fillId="3" borderId="2" xfId="0" applyNumberFormat="1" applyFont="1" applyFill="1" applyBorder="1"/>
    <xf numFmtId="0" fontId="42" fillId="2" borderId="0" xfId="0" applyFont="1" applyFill="1"/>
    <xf numFmtId="165" fontId="6" fillId="2" borderId="5" xfId="0" applyNumberFormat="1" applyFont="1" applyFill="1" applyBorder="1"/>
    <xf numFmtId="165" fontId="6" fillId="2" borderId="0" xfId="0" applyNumberFormat="1" applyFont="1" applyFill="1"/>
    <xf numFmtId="165" fontId="6" fillId="2" borderId="2" xfId="0" applyNumberFormat="1" applyFont="1" applyFill="1" applyBorder="1"/>
    <xf numFmtId="165" fontId="6" fillId="2" borderId="24" xfId="0" applyNumberFormat="1" applyFont="1" applyFill="1" applyBorder="1"/>
    <xf numFmtId="165" fontId="6" fillId="2" borderId="19" xfId="0" applyNumberFormat="1" applyFont="1" applyFill="1" applyBorder="1"/>
    <xf numFmtId="165" fontId="6" fillId="2" borderId="21" xfId="0" applyNumberFormat="1" applyFont="1" applyFill="1" applyBorder="1"/>
    <xf numFmtId="0" fontId="13" fillId="2" borderId="0" xfId="0" applyFont="1" applyFill="1" applyAlignment="1">
      <alignment vertical="center"/>
    </xf>
    <xf numFmtId="0" fontId="5" fillId="2" borderId="1" xfId="0" applyFont="1" applyFill="1" applyBorder="1"/>
    <xf numFmtId="0" fontId="6" fillId="2" borderId="13" xfId="0" applyFont="1" applyFill="1" applyBorder="1" applyAlignment="1">
      <alignment horizontal="center"/>
    </xf>
    <xf numFmtId="0" fontId="5" fillId="2" borderId="1" xfId="0" applyFont="1" applyFill="1" applyBorder="1" applyAlignment="1">
      <alignment horizontal="left"/>
    </xf>
    <xf numFmtId="165" fontId="5" fillId="2" borderId="1" xfId="0" applyNumberFormat="1" applyFont="1" applyFill="1" applyBorder="1"/>
    <xf numFmtId="164" fontId="5" fillId="2" borderId="1" xfId="1" applyNumberFormat="1" applyFont="1" applyFill="1" applyBorder="1"/>
    <xf numFmtId="0" fontId="5" fillId="2" borderId="19" xfId="0" applyFont="1" applyFill="1" applyBorder="1"/>
    <xf numFmtId="165" fontId="0" fillId="2" borderId="0" xfId="0" applyNumberFormat="1" applyFill="1"/>
    <xf numFmtId="0" fontId="5" fillId="2" borderId="21" xfId="0" applyFont="1" applyFill="1" applyBorder="1"/>
    <xf numFmtId="0" fontId="5" fillId="7" borderId="18" xfId="0" applyFont="1" applyFill="1" applyBorder="1"/>
    <xf numFmtId="164" fontId="5" fillId="2" borderId="12" xfId="1" applyNumberFormat="1" applyFont="1" applyFill="1" applyBorder="1" applyAlignment="1">
      <alignment horizontal="right"/>
    </xf>
    <xf numFmtId="0" fontId="5" fillId="2" borderId="13" xfId="0" applyFont="1" applyFill="1" applyBorder="1"/>
    <xf numFmtId="0" fontId="30" fillId="2" borderId="15" xfId="0" applyFont="1" applyFill="1" applyBorder="1" applyAlignment="1">
      <alignment horizontal="right" wrapText="1"/>
    </xf>
    <xf numFmtId="165" fontId="5" fillId="2" borderId="19" xfId="0" applyNumberFormat="1" applyFont="1" applyFill="1" applyBorder="1"/>
    <xf numFmtId="164" fontId="6" fillId="7" borderId="3" xfId="0" applyNumberFormat="1" applyFont="1" applyFill="1" applyBorder="1"/>
    <xf numFmtId="0" fontId="6" fillId="2" borderId="1" xfId="0" applyFont="1" applyFill="1" applyBorder="1" applyAlignment="1">
      <alignment horizontal="right"/>
    </xf>
    <xf numFmtId="0" fontId="0" fillId="3" borderId="29" xfId="0" applyFill="1" applyBorder="1"/>
    <xf numFmtId="0" fontId="6" fillId="3" borderId="89" xfId="0" applyFont="1" applyFill="1" applyBorder="1" applyAlignment="1">
      <alignment horizontal="right"/>
    </xf>
    <xf numFmtId="0" fontId="35" fillId="3" borderId="33" xfId="0" applyFont="1" applyFill="1" applyBorder="1"/>
    <xf numFmtId="164" fontId="25" fillId="2" borderId="13" xfId="1" applyNumberFormat="1" applyFont="1" applyFill="1" applyBorder="1" applyAlignment="1">
      <alignment horizontal="right"/>
    </xf>
    <xf numFmtId="0" fontId="9" fillId="2" borderId="13" xfId="0" quotePrefix="1" applyFont="1" applyFill="1" applyBorder="1" applyAlignment="1">
      <alignment horizontal="left"/>
    </xf>
    <xf numFmtId="164" fontId="25" fillId="2" borderId="0" xfId="1" applyNumberFormat="1" applyFont="1" applyFill="1" applyAlignment="1">
      <alignment horizontal="right"/>
    </xf>
    <xf numFmtId="3" fontId="2" fillId="2" borderId="44" xfId="0" applyNumberFormat="1" applyFont="1" applyFill="1" applyBorder="1"/>
    <xf numFmtId="164" fontId="30" fillId="2" borderId="13" xfId="1" applyNumberFormat="1" applyFont="1" applyFill="1" applyBorder="1" applyAlignment="1">
      <alignment horizontal="right"/>
    </xf>
    <xf numFmtId="0" fontId="35" fillId="2" borderId="24" xfId="0" applyFont="1" applyFill="1" applyBorder="1"/>
    <xf numFmtId="0" fontId="0" fillId="2" borderId="5" xfId="0" applyFill="1" applyBorder="1"/>
    <xf numFmtId="3" fontId="2" fillId="2" borderId="4" xfId="0" applyNumberFormat="1" applyFont="1" applyFill="1" applyBorder="1"/>
    <xf numFmtId="3" fontId="2" fillId="2" borderId="42" xfId="0" applyNumberFormat="1" applyFont="1" applyFill="1" applyBorder="1"/>
    <xf numFmtId="3" fontId="2" fillId="2" borderId="34" xfId="0" applyNumberFormat="1" applyFont="1" applyFill="1" applyBorder="1"/>
    <xf numFmtId="0" fontId="0" fillId="2" borderId="8" xfId="0" applyFill="1" applyBorder="1"/>
    <xf numFmtId="3" fontId="0" fillId="2" borderId="7" xfId="0" applyNumberFormat="1" applyFill="1" applyBorder="1"/>
    <xf numFmtId="3" fontId="0" fillId="2" borderId="19" xfId="0" applyNumberFormat="1" applyFill="1" applyBorder="1"/>
    <xf numFmtId="3" fontId="0" fillId="2" borderId="36" xfId="0" applyNumberFormat="1" applyFill="1" applyBorder="1"/>
    <xf numFmtId="0" fontId="0" fillId="2" borderId="86" xfId="0" applyFill="1" applyBorder="1"/>
    <xf numFmtId="0" fontId="0" fillId="2" borderId="26" xfId="0" applyFill="1" applyBorder="1"/>
    <xf numFmtId="3" fontId="2" fillId="2" borderId="66" xfId="0" applyNumberFormat="1" applyFont="1" applyFill="1" applyBorder="1"/>
    <xf numFmtId="0" fontId="0" fillId="2" borderId="45" xfId="0" applyFill="1" applyBorder="1"/>
    <xf numFmtId="0" fontId="0" fillId="2" borderId="61" xfId="0" applyFill="1" applyBorder="1"/>
    <xf numFmtId="3" fontId="32" fillId="2" borderId="0" xfId="0" applyNumberFormat="1" applyFont="1" applyFill="1"/>
    <xf numFmtId="0" fontId="35" fillId="2" borderId="0" xfId="0" applyFont="1" applyFill="1"/>
    <xf numFmtId="0" fontId="0" fillId="3" borderId="28" xfId="0" applyFill="1" applyBorder="1"/>
    <xf numFmtId="0" fontId="0" fillId="3" borderId="32" xfId="0" applyFill="1" applyBorder="1"/>
    <xf numFmtId="0" fontId="2" fillId="3" borderId="33" xfId="0" applyFont="1" applyFill="1" applyBorder="1"/>
    <xf numFmtId="0" fontId="0" fillId="3" borderId="34" xfId="0" applyFill="1" applyBorder="1"/>
    <xf numFmtId="0" fontId="13" fillId="2" borderId="33" xfId="0" applyFont="1" applyFill="1" applyBorder="1"/>
    <xf numFmtId="0" fontId="2" fillId="9" borderId="50" xfId="0" applyFont="1" applyFill="1" applyBorder="1"/>
    <xf numFmtId="3" fontId="2" fillId="9" borderId="18" xfId="0" applyNumberFormat="1" applyFont="1" applyFill="1" applyBorder="1"/>
    <xf numFmtId="3" fontId="2" fillId="9" borderId="51" xfId="0" applyNumberFormat="1" applyFont="1" applyFill="1" applyBorder="1"/>
    <xf numFmtId="0" fontId="2" fillId="9" borderId="94" xfId="0" applyFont="1" applyFill="1" applyBorder="1"/>
    <xf numFmtId="3" fontId="2" fillId="9" borderId="73" xfId="0" applyNumberFormat="1" applyFont="1" applyFill="1" applyBorder="1"/>
    <xf numFmtId="3" fontId="2" fillId="9" borderId="76" xfId="0" applyNumberFormat="1" applyFont="1" applyFill="1" applyBorder="1"/>
    <xf numFmtId="0" fontId="0" fillId="3" borderId="36" xfId="0" applyFill="1" applyBorder="1"/>
    <xf numFmtId="0" fontId="35" fillId="3" borderId="36" xfId="0" applyFont="1" applyFill="1" applyBorder="1"/>
    <xf numFmtId="3" fontId="0" fillId="2" borderId="50" xfId="0" applyNumberFormat="1" applyFill="1" applyBorder="1"/>
    <xf numFmtId="0" fontId="0" fillId="2" borderId="84" xfId="0" applyFill="1" applyBorder="1"/>
    <xf numFmtId="3" fontId="2" fillId="2" borderId="50" xfId="0" applyNumberFormat="1" applyFont="1" applyFill="1" applyBorder="1"/>
    <xf numFmtId="166" fontId="30" fillId="2" borderId="51" xfId="0" applyNumberFormat="1" applyFont="1" applyFill="1" applyBorder="1"/>
    <xf numFmtId="166" fontId="25" fillId="2" borderId="37" xfId="1" applyNumberFormat="1" applyFont="1" applyFill="1" applyBorder="1" applyAlignment="1"/>
    <xf numFmtId="3" fontId="0" fillId="2" borderId="52" xfId="0" applyNumberFormat="1" applyFill="1" applyBorder="1"/>
    <xf numFmtId="166" fontId="25" fillId="2" borderId="66" xfId="1" applyNumberFormat="1" applyFont="1" applyFill="1" applyBorder="1" applyAlignment="1"/>
    <xf numFmtId="3" fontId="0" fillId="2" borderId="67" xfId="0" applyNumberFormat="1" applyFill="1" applyBorder="1"/>
    <xf numFmtId="166" fontId="30" fillId="2" borderId="51" xfId="1" applyNumberFormat="1" applyFont="1" applyFill="1" applyBorder="1" applyAlignment="1"/>
    <xf numFmtId="0" fontId="0" fillId="2" borderId="56" xfId="0" applyFill="1" applyBorder="1"/>
    <xf numFmtId="0" fontId="2" fillId="2" borderId="39" xfId="0" applyFont="1" applyFill="1" applyBorder="1"/>
    <xf numFmtId="3" fontId="2" fillId="2" borderId="69" xfId="0" applyNumberFormat="1" applyFont="1" applyFill="1" applyBorder="1"/>
    <xf numFmtId="166" fontId="30" fillId="2" borderId="44" xfId="1" applyNumberFormat="1" applyFont="1" applyFill="1" applyBorder="1" applyAlignment="1"/>
    <xf numFmtId="0" fontId="8" fillId="2" borderId="0" xfId="0" applyFont="1" applyFill="1" applyAlignment="1">
      <alignment horizontal="left" indent="2"/>
    </xf>
    <xf numFmtId="167" fontId="25" fillId="2" borderId="15" xfId="1" applyNumberFormat="1" applyFont="1" applyFill="1" applyBorder="1"/>
    <xf numFmtId="167" fontId="25" fillId="2" borderId="18" xfId="1" applyNumberFormat="1" applyFont="1" applyFill="1" applyBorder="1"/>
    <xf numFmtId="167" fontId="25" fillId="2" borderId="47" xfId="1" applyNumberFormat="1" applyFont="1" applyFill="1" applyBorder="1"/>
    <xf numFmtId="167" fontId="25" fillId="2" borderId="89" xfId="1" applyNumberFormat="1" applyFont="1" applyFill="1" applyBorder="1"/>
    <xf numFmtId="3" fontId="0" fillId="2" borderId="89" xfId="0" applyNumberFormat="1" applyFill="1" applyBorder="1"/>
    <xf numFmtId="167" fontId="25" fillId="2" borderId="37" xfId="1" applyNumberFormat="1" applyFont="1" applyFill="1" applyBorder="1"/>
    <xf numFmtId="167" fontId="25" fillId="2" borderId="48" xfId="1" applyNumberFormat="1" applyFont="1" applyFill="1" applyBorder="1"/>
    <xf numFmtId="167" fontId="25" fillId="2" borderId="51" xfId="1" applyNumberFormat="1" applyFont="1" applyFill="1" applyBorder="1"/>
    <xf numFmtId="167" fontId="25" fillId="2" borderId="64" xfId="1" applyNumberFormat="1" applyFont="1" applyFill="1" applyBorder="1"/>
    <xf numFmtId="0" fontId="25" fillId="2" borderId="0" xfId="0" applyFont="1" applyFill="1"/>
    <xf numFmtId="0" fontId="25" fillId="2" borderId="11" xfId="0" applyFont="1" applyFill="1" applyBorder="1"/>
    <xf numFmtId="0" fontId="25" fillId="2" borderId="13" xfId="0" applyFont="1" applyFill="1" applyBorder="1"/>
    <xf numFmtId="166" fontId="25" fillId="2" borderId="15" xfId="0" applyNumberFormat="1" applyFont="1" applyFill="1" applyBorder="1"/>
    <xf numFmtId="164" fontId="25" fillId="2" borderId="15" xfId="0" applyNumberFormat="1" applyFont="1" applyFill="1" applyBorder="1"/>
    <xf numFmtId="0" fontId="25" fillId="2" borderId="15" xfId="0" applyFont="1" applyFill="1" applyBorder="1"/>
    <xf numFmtId="166" fontId="30" fillId="2" borderId="15" xfId="0" applyNumberFormat="1" applyFont="1" applyFill="1" applyBorder="1"/>
    <xf numFmtId="0" fontId="25" fillId="2" borderId="4" xfId="0" applyFont="1" applyFill="1" applyBorder="1"/>
    <xf numFmtId="0" fontId="25" fillId="2" borderId="6" xfId="0" applyFont="1" applyFill="1" applyBorder="1"/>
    <xf numFmtId="0" fontId="25" fillId="2" borderId="10" xfId="0" applyFont="1" applyFill="1" applyBorder="1"/>
    <xf numFmtId="0" fontId="9" fillId="2" borderId="26" xfId="0" quotePrefix="1" applyFont="1" applyFill="1" applyBorder="1" applyAlignment="1">
      <alignment horizontal="left"/>
    </xf>
    <xf numFmtId="0" fontId="30" fillId="2" borderId="4" xfId="0" applyFont="1" applyFill="1" applyBorder="1"/>
    <xf numFmtId="0" fontId="25" fillId="2" borderId="7" xfId="0" applyFont="1" applyFill="1" applyBorder="1"/>
    <xf numFmtId="0" fontId="25" fillId="2" borderId="8" xfId="0" applyFont="1" applyFill="1" applyBorder="1"/>
    <xf numFmtId="0" fontId="25" fillId="2" borderId="9" xfId="0" applyFont="1" applyFill="1" applyBorder="1"/>
    <xf numFmtId="0" fontId="30" fillId="2" borderId="6" xfId="0" applyFont="1" applyFill="1" applyBorder="1"/>
    <xf numFmtId="0" fontId="25" fillId="3" borderId="4" xfId="0" applyFont="1" applyFill="1" applyBorder="1"/>
    <xf numFmtId="0" fontId="25" fillId="3" borderId="6" xfId="0" applyFont="1" applyFill="1" applyBorder="1"/>
    <xf numFmtId="0" fontId="30" fillId="3" borderId="9" xfId="0" applyFont="1" applyFill="1" applyBorder="1"/>
    <xf numFmtId="0" fontId="25" fillId="3" borderId="10" xfId="0" applyFont="1" applyFill="1" applyBorder="1"/>
    <xf numFmtId="0" fontId="30" fillId="3" borderId="18" xfId="0" applyFont="1" applyFill="1" applyBorder="1"/>
    <xf numFmtId="0" fontId="30" fillId="3" borderId="10" xfId="0" applyFont="1" applyFill="1" applyBorder="1" applyAlignment="1">
      <alignment horizontal="right"/>
    </xf>
    <xf numFmtId="0" fontId="25" fillId="3" borderId="24" xfId="0" applyFont="1" applyFill="1" applyBorder="1"/>
    <xf numFmtId="0" fontId="30" fillId="3" borderId="18" xfId="0" applyFont="1" applyFill="1" applyBorder="1" applyAlignment="1">
      <alignment horizontal="right"/>
    </xf>
    <xf numFmtId="166" fontId="30" fillId="2" borderId="24" xfId="0" applyNumberFormat="1" applyFont="1" applyFill="1" applyBorder="1"/>
    <xf numFmtId="166" fontId="25" fillId="2" borderId="18" xfId="0" applyNumberFormat="1" applyFont="1" applyFill="1" applyBorder="1"/>
    <xf numFmtId="166" fontId="30" fillId="2" borderId="18" xfId="0" applyNumberFormat="1" applyFont="1" applyFill="1" applyBorder="1"/>
    <xf numFmtId="0" fontId="46" fillId="3" borderId="4" xfId="0" applyFont="1" applyFill="1" applyBorder="1" applyAlignment="1">
      <alignment horizontal="right"/>
    </xf>
    <xf numFmtId="0" fontId="46" fillId="3" borderId="24" xfId="0" applyFont="1" applyFill="1" applyBorder="1" applyAlignment="1">
      <alignment horizontal="right"/>
    </xf>
    <xf numFmtId="0" fontId="25" fillId="2" borderId="1" xfId="0" applyFont="1" applyFill="1" applyBorder="1"/>
    <xf numFmtId="0" fontId="25" fillId="3" borderId="9" xfId="0" applyFont="1" applyFill="1" applyBorder="1"/>
    <xf numFmtId="0" fontId="25" fillId="3" borderId="9" xfId="0" applyFont="1" applyFill="1" applyBorder="1" applyAlignment="1">
      <alignment horizontal="right"/>
    </xf>
    <xf numFmtId="0" fontId="25" fillId="3" borderId="10" xfId="0" applyFont="1" applyFill="1" applyBorder="1" applyAlignment="1">
      <alignment horizontal="right"/>
    </xf>
    <xf numFmtId="0" fontId="30" fillId="2" borderId="0" xfId="0" applyFont="1" applyFill="1"/>
    <xf numFmtId="0" fontId="30" fillId="2" borderId="15" xfId="0" applyFont="1" applyFill="1" applyBorder="1"/>
    <xf numFmtId="0" fontId="30" fillId="3" borderId="24" xfId="0" applyFont="1" applyFill="1" applyBorder="1" applyAlignment="1">
      <alignment horizontal="right"/>
    </xf>
    <xf numFmtId="0" fontId="30" fillId="2" borderId="11" xfId="0" applyFont="1" applyFill="1" applyBorder="1"/>
    <xf numFmtId="0" fontId="30" fillId="2" borderId="13" xfId="0" applyFont="1" applyFill="1" applyBorder="1"/>
    <xf numFmtId="0" fontId="30" fillId="3" borderId="4" xfId="0" applyFont="1" applyFill="1" applyBorder="1"/>
    <xf numFmtId="0" fontId="30" fillId="3" borderId="6" xfId="0" applyFont="1" applyFill="1" applyBorder="1"/>
    <xf numFmtId="0" fontId="30" fillId="3" borderId="10" xfId="0" applyFont="1" applyFill="1" applyBorder="1"/>
    <xf numFmtId="0" fontId="25" fillId="3" borderId="5" xfId="0" applyFont="1" applyFill="1" applyBorder="1"/>
    <xf numFmtId="0" fontId="25" fillId="3" borderId="1" xfId="0" applyFont="1" applyFill="1" applyBorder="1"/>
    <xf numFmtId="0" fontId="25" fillId="3" borderId="8" xfId="0" applyFont="1" applyFill="1" applyBorder="1"/>
    <xf numFmtId="0" fontId="30" fillId="3" borderId="7" xfId="0" applyFont="1" applyFill="1" applyBorder="1"/>
    <xf numFmtId="0" fontId="25" fillId="2" borderId="12" xfId="0" applyFont="1" applyFill="1" applyBorder="1"/>
    <xf numFmtId="0" fontId="30" fillId="2" borderId="12" xfId="0" applyFont="1" applyFill="1" applyBorder="1"/>
    <xf numFmtId="0" fontId="30" fillId="3" borderId="5" xfId="0" applyFont="1" applyFill="1" applyBorder="1"/>
    <xf numFmtId="0" fontId="30" fillId="3" borderId="1" xfId="0" applyFont="1" applyFill="1" applyBorder="1"/>
    <xf numFmtId="164" fontId="39" fillId="2" borderId="15" xfId="1" applyNumberFormat="1" applyFont="1" applyFill="1" applyBorder="1"/>
    <xf numFmtId="166" fontId="39" fillId="2" borderId="15" xfId="0" applyNumberFormat="1" applyFont="1" applyFill="1" applyBorder="1"/>
    <xf numFmtId="0" fontId="25" fillId="2" borderId="13" xfId="0" quotePrefix="1" applyFont="1" applyFill="1" applyBorder="1" applyAlignment="1">
      <alignment horizontal="right"/>
    </xf>
    <xf numFmtId="0" fontId="47" fillId="2" borderId="11" xfId="0" applyFont="1" applyFill="1" applyBorder="1" applyAlignment="1">
      <alignment horizontal="left" indent="2"/>
    </xf>
    <xf numFmtId="0" fontId="47" fillId="2" borderId="12" xfId="0" applyFont="1" applyFill="1" applyBorder="1" applyAlignment="1">
      <alignment horizontal="left" indent="2"/>
    </xf>
    <xf numFmtId="0" fontId="47" fillId="2" borderId="13" xfId="0" applyFont="1" applyFill="1" applyBorder="1" applyAlignment="1">
      <alignment horizontal="right"/>
    </xf>
    <xf numFmtId="0" fontId="25" fillId="3" borderId="19" xfId="0" applyFont="1" applyFill="1" applyBorder="1"/>
    <xf numFmtId="0" fontId="48" fillId="3" borderId="15" xfId="0" applyFont="1" applyFill="1" applyBorder="1"/>
    <xf numFmtId="0" fontId="25" fillId="2" borderId="15" xfId="0" applyFont="1" applyFill="1" applyBorder="1" applyAlignment="1">
      <alignment horizontal="left"/>
    </xf>
    <xf numFmtId="0" fontId="30" fillId="2" borderId="15" xfId="0" applyFont="1" applyFill="1" applyBorder="1" applyAlignment="1">
      <alignment horizontal="left"/>
    </xf>
    <xf numFmtId="0" fontId="25" fillId="2" borderId="0" xfId="0" applyFont="1" applyFill="1" applyAlignment="1">
      <alignment horizontal="right"/>
    </xf>
    <xf numFmtId="164" fontId="25" fillId="2" borderId="15" xfId="1" applyNumberFormat="1" applyFont="1" applyFill="1" applyBorder="1"/>
    <xf numFmtId="0" fontId="30" fillId="7" borderId="15" xfId="0" applyFont="1" applyFill="1" applyBorder="1"/>
    <xf numFmtId="164" fontId="30" fillId="7" borderId="15" xfId="1" applyNumberFormat="1" applyFont="1" applyFill="1" applyBorder="1"/>
    <xf numFmtId="164" fontId="30" fillId="2" borderId="15" xfId="1" applyNumberFormat="1" applyFont="1" applyFill="1" applyBorder="1"/>
    <xf numFmtId="3" fontId="2" fillId="2" borderId="73" xfId="0" applyNumberFormat="1" applyFont="1" applyFill="1" applyBorder="1"/>
    <xf numFmtId="3" fontId="0" fillId="2" borderId="9" xfId="0" applyNumberFormat="1" applyFill="1" applyBorder="1"/>
    <xf numFmtId="3" fontId="0" fillId="2" borderId="11" xfId="0" applyNumberFormat="1" applyFill="1" applyBorder="1"/>
    <xf numFmtId="3" fontId="0" fillId="2" borderId="66" xfId="0" applyNumberFormat="1" applyFill="1" applyBorder="1"/>
    <xf numFmtId="3" fontId="0" fillId="2" borderId="25" xfId="0" applyNumberFormat="1" applyFill="1" applyBorder="1"/>
    <xf numFmtId="3" fontId="2" fillId="2" borderId="65" xfId="0" applyNumberFormat="1" applyFont="1" applyFill="1" applyBorder="1"/>
    <xf numFmtId="166" fontId="30" fillId="7" borderId="15" xfId="0" applyNumberFormat="1" applyFont="1" applyFill="1" applyBorder="1"/>
    <xf numFmtId="0" fontId="47" fillId="2" borderId="15" xfId="0" applyFont="1" applyFill="1" applyBorder="1" applyAlignment="1">
      <alignment horizontal="left" indent="2"/>
    </xf>
    <xf numFmtId="2" fontId="25" fillId="2" borderId="15" xfId="0" applyNumberFormat="1" applyFont="1" applyFill="1" applyBorder="1"/>
    <xf numFmtId="0" fontId="49" fillId="2" borderId="15" xfId="0" applyFont="1" applyFill="1" applyBorder="1" applyAlignment="1">
      <alignment horizontal="right"/>
    </xf>
    <xf numFmtId="4" fontId="25" fillId="2" borderId="15" xfId="0" applyNumberFormat="1" applyFont="1" applyFill="1" applyBorder="1"/>
    <xf numFmtId="4" fontId="25" fillId="7" borderId="15" xfId="0" applyNumberFormat="1" applyFont="1" applyFill="1" applyBorder="1"/>
    <xf numFmtId="0" fontId="49" fillId="7" borderId="15" xfId="0" applyFont="1" applyFill="1" applyBorder="1" applyAlignment="1">
      <alignment horizontal="right"/>
    </xf>
    <xf numFmtId="0" fontId="39" fillId="2" borderId="1" xfId="0" applyFont="1" applyFill="1" applyBorder="1"/>
    <xf numFmtId="0" fontId="39" fillId="2" borderId="35" xfId="0" applyFont="1" applyFill="1" applyBorder="1" applyAlignment="1">
      <alignment horizontal="left" indent="4"/>
    </xf>
    <xf numFmtId="164" fontId="39" fillId="2" borderId="37" xfId="1" applyNumberFormat="1" applyFont="1" applyFill="1" applyBorder="1"/>
    <xf numFmtId="0" fontId="39" fillId="2" borderId="0" xfId="0" applyFont="1" applyFill="1" applyAlignment="1">
      <alignment horizontal="left" indent="2"/>
    </xf>
    <xf numFmtId="0" fontId="3" fillId="2" borderId="11" xfId="0" applyFont="1" applyFill="1" applyBorder="1"/>
    <xf numFmtId="0" fontId="3" fillId="2" borderId="12" xfId="0" applyFont="1" applyFill="1" applyBorder="1"/>
    <xf numFmtId="0" fontId="3" fillId="2" borderId="13" xfId="0" applyFont="1" applyFill="1" applyBorder="1"/>
    <xf numFmtId="0" fontId="50" fillId="2" borderId="35" xfId="0" applyFont="1" applyFill="1" applyBorder="1" applyAlignment="1">
      <alignment horizontal="left" indent="1"/>
    </xf>
    <xf numFmtId="166" fontId="39" fillId="2" borderId="37" xfId="0" applyNumberFormat="1" applyFont="1" applyFill="1" applyBorder="1"/>
    <xf numFmtId="3" fontId="0" fillId="10" borderId="15" xfId="0" applyNumberFormat="1" applyFill="1" applyBorder="1"/>
    <xf numFmtId="0" fontId="2" fillId="10" borderId="0" xfId="0" applyFont="1" applyFill="1"/>
    <xf numFmtId="0" fontId="0" fillId="2" borderId="1" xfId="0" applyFill="1" applyBorder="1" applyAlignment="1">
      <alignment horizontal="left"/>
    </xf>
    <xf numFmtId="3" fontId="2" fillId="10" borderId="15" xfId="0" applyNumberFormat="1" applyFont="1" applyFill="1" applyBorder="1"/>
    <xf numFmtId="10" fontId="6" fillId="10" borderId="15" xfId="0" applyNumberFormat="1" applyFont="1" applyFill="1" applyBorder="1"/>
    <xf numFmtId="3" fontId="2" fillId="10" borderId="23" xfId="0" applyNumberFormat="1" applyFont="1" applyFill="1" applyBorder="1"/>
    <xf numFmtId="0" fontId="0" fillId="10" borderId="11" xfId="0" applyFill="1" applyBorder="1"/>
    <xf numFmtId="0" fontId="2" fillId="10" borderId="11" xfId="0" applyFont="1" applyFill="1" applyBorder="1"/>
    <xf numFmtId="0" fontId="0" fillId="10" borderId="12" xfId="0" applyFill="1" applyBorder="1"/>
    <xf numFmtId="0" fontId="0" fillId="10" borderId="13" xfId="0" applyFill="1" applyBorder="1" applyAlignment="1">
      <alignment horizontal="center"/>
    </xf>
    <xf numFmtId="3" fontId="0" fillId="10" borderId="13" xfId="0" applyNumberFormat="1" applyFill="1" applyBorder="1"/>
    <xf numFmtId="3" fontId="0" fillId="10" borderId="18" xfId="0" applyNumberFormat="1" applyFill="1" applyBorder="1"/>
    <xf numFmtId="3" fontId="0" fillId="10" borderId="24" xfId="0" applyNumberFormat="1" applyFill="1" applyBorder="1"/>
    <xf numFmtId="3" fontId="0" fillId="10" borderId="40" xfId="0" applyNumberFormat="1" applyFill="1" applyBorder="1"/>
    <xf numFmtId="9" fontId="40" fillId="10" borderId="15" xfId="1" applyFont="1" applyFill="1" applyBorder="1"/>
    <xf numFmtId="0" fontId="0" fillId="10" borderId="15" xfId="0" applyFill="1" applyBorder="1"/>
    <xf numFmtId="4" fontId="0" fillId="10" borderId="15" xfId="0" applyNumberFormat="1" applyFill="1" applyBorder="1"/>
    <xf numFmtId="0" fontId="27" fillId="10" borderId="15" xfId="0" applyFont="1" applyFill="1" applyBorder="1" applyAlignment="1">
      <alignment horizontal="right"/>
    </xf>
    <xf numFmtId="0" fontId="25" fillId="10" borderId="51" xfId="0" applyFont="1" applyFill="1" applyBorder="1"/>
    <xf numFmtId="0" fontId="25" fillId="10" borderId="37" xfId="0" applyFont="1" applyFill="1" applyBorder="1"/>
    <xf numFmtId="0" fontId="25" fillId="10" borderId="66" xfId="0" applyFont="1" applyFill="1" applyBorder="1"/>
    <xf numFmtId="0" fontId="0" fillId="10" borderId="51" xfId="0" applyFill="1" applyBorder="1"/>
    <xf numFmtId="0" fontId="0" fillId="10" borderId="37" xfId="0" applyFill="1" applyBorder="1"/>
    <xf numFmtId="0" fontId="0" fillId="10" borderId="66" xfId="0" applyFill="1" applyBorder="1"/>
    <xf numFmtId="0" fontId="3" fillId="10" borderId="52" xfId="0" applyFont="1" applyFill="1" applyBorder="1"/>
    <xf numFmtId="3" fontId="3" fillId="10" borderId="52" xfId="0" applyNumberFormat="1" applyFont="1" applyFill="1" applyBorder="1"/>
    <xf numFmtId="3" fontId="2" fillId="10" borderId="66" xfId="0" applyNumberFormat="1" applyFont="1" applyFill="1" applyBorder="1"/>
    <xf numFmtId="3" fontId="0" fillId="10" borderId="23" xfId="0" applyNumberFormat="1" applyFill="1" applyBorder="1"/>
    <xf numFmtId="3" fontId="0" fillId="2" borderId="51" xfId="0" applyNumberFormat="1" applyFill="1" applyBorder="1"/>
    <xf numFmtId="3" fontId="2" fillId="2" borderId="77" xfId="0" applyNumberFormat="1" applyFont="1" applyFill="1" applyBorder="1"/>
    <xf numFmtId="3" fontId="2" fillId="2" borderId="82" xfId="0" applyNumberFormat="1" applyFont="1" applyFill="1" applyBorder="1"/>
    <xf numFmtId="3" fontId="2" fillId="2" borderId="83" xfId="0" applyNumberFormat="1" applyFont="1" applyFill="1" applyBorder="1"/>
    <xf numFmtId="3" fontId="2" fillId="2" borderId="14" xfId="0" applyNumberFormat="1" applyFont="1" applyFill="1" applyBorder="1"/>
    <xf numFmtId="3" fontId="0" fillId="2" borderId="53" xfId="0" applyNumberFormat="1" applyFill="1" applyBorder="1"/>
    <xf numFmtId="3" fontId="0" fillId="2" borderId="63" xfId="0" applyNumberFormat="1" applyFill="1" applyBorder="1"/>
    <xf numFmtId="3" fontId="0" fillId="3" borderId="71" xfId="0" applyNumberFormat="1" applyFill="1" applyBorder="1"/>
    <xf numFmtId="3" fontId="14" fillId="2" borderId="18" xfId="0" applyNumberFormat="1" applyFont="1" applyFill="1" applyBorder="1"/>
    <xf numFmtId="3" fontId="14" fillId="2" borderId="15" xfId="0" applyNumberFormat="1" applyFont="1" applyFill="1" applyBorder="1"/>
    <xf numFmtId="3" fontId="14" fillId="2" borderId="40" xfId="0" applyNumberFormat="1" applyFont="1" applyFill="1" applyBorder="1"/>
    <xf numFmtId="0" fontId="2" fillId="10" borderId="73" xfId="0" applyFont="1" applyFill="1" applyBorder="1"/>
    <xf numFmtId="164" fontId="2" fillId="10" borderId="74" xfId="1" applyNumberFormat="1" applyFont="1" applyFill="1" applyBorder="1"/>
    <xf numFmtId="0" fontId="34" fillId="10" borderId="9" xfId="0" applyFont="1" applyFill="1" applyBorder="1"/>
    <xf numFmtId="3" fontId="0" fillId="10" borderId="50" xfId="0" applyNumberFormat="1" applyFill="1" applyBorder="1"/>
    <xf numFmtId="3" fontId="0" fillId="10" borderId="51" xfId="0" applyNumberFormat="1" applyFill="1" applyBorder="1"/>
    <xf numFmtId="3" fontId="0" fillId="10" borderId="52" xfId="0" applyNumberFormat="1" applyFill="1" applyBorder="1"/>
    <xf numFmtId="3" fontId="0" fillId="10" borderId="37" xfId="0" applyNumberFormat="1" applyFill="1" applyBorder="1"/>
    <xf numFmtId="3" fontId="0" fillId="10" borderId="67" xfId="0" applyNumberFormat="1" applyFill="1" applyBorder="1"/>
    <xf numFmtId="3" fontId="0" fillId="10" borderId="66" xfId="0" applyNumberFormat="1" applyFill="1" applyBorder="1"/>
    <xf numFmtId="0" fontId="2" fillId="10" borderId="80" xfId="0" applyFont="1" applyFill="1" applyBorder="1"/>
    <xf numFmtId="3" fontId="2" fillId="10" borderId="68" xfId="0" applyNumberFormat="1" applyFont="1" applyFill="1" applyBorder="1"/>
    <xf numFmtId="3" fontId="2" fillId="10" borderId="47" xfId="0" applyNumberFormat="1" applyFont="1" applyFill="1" applyBorder="1"/>
    <xf numFmtId="3" fontId="2" fillId="10" borderId="81" xfId="0" applyNumberFormat="1" applyFont="1" applyFill="1" applyBorder="1"/>
    <xf numFmtId="3" fontId="2" fillId="10" borderId="79" xfId="0" applyNumberFormat="1" applyFont="1" applyFill="1" applyBorder="1"/>
    <xf numFmtId="164" fontId="0" fillId="10" borderId="15" xfId="0" applyNumberFormat="1" applyFill="1" applyBorder="1" applyAlignment="1">
      <alignment horizontal="center"/>
    </xf>
    <xf numFmtId="0" fontId="0" fillId="10" borderId="40" xfId="0" applyFill="1" applyBorder="1"/>
    <xf numFmtId="0" fontId="0" fillId="10" borderId="41" xfId="0" applyFill="1" applyBorder="1"/>
    <xf numFmtId="0" fontId="0" fillId="10" borderId="18" xfId="0" applyFill="1" applyBorder="1"/>
    <xf numFmtId="0" fontId="0" fillId="10" borderId="43" xfId="0" applyFill="1" applyBorder="1"/>
    <xf numFmtId="0" fontId="2" fillId="11" borderId="38" xfId="0" applyFont="1" applyFill="1" applyBorder="1" applyAlignment="1">
      <alignment horizontal="center"/>
    </xf>
    <xf numFmtId="0" fontId="2" fillId="11" borderId="39" xfId="0" applyFont="1" applyFill="1" applyBorder="1"/>
    <xf numFmtId="3" fontId="2" fillId="11" borderId="43" xfId="0" applyNumberFormat="1" applyFont="1" applyFill="1" applyBorder="1"/>
    <xf numFmtId="0" fontId="0" fillId="11" borderId="43" xfId="0" applyFill="1" applyBorder="1"/>
    <xf numFmtId="0" fontId="0" fillId="11" borderId="44" xfId="0" applyFill="1" applyBorder="1"/>
    <xf numFmtId="0" fontId="43" fillId="2" borderId="38" xfId="0" applyFont="1" applyFill="1" applyBorder="1"/>
    <xf numFmtId="0" fontId="53" fillId="2" borderId="39" xfId="0" applyFont="1" applyFill="1" applyBorder="1"/>
    <xf numFmtId="0" fontId="43" fillId="2" borderId="39" xfId="0" applyFont="1" applyFill="1" applyBorder="1" applyAlignment="1">
      <alignment horizontal="center"/>
    </xf>
    <xf numFmtId="166" fontId="53" fillId="2" borderId="43" xfId="0" applyNumberFormat="1" applyFont="1" applyFill="1" applyBorder="1"/>
    <xf numFmtId="166" fontId="53" fillId="2" borderId="44" xfId="0" applyNumberFormat="1" applyFont="1" applyFill="1" applyBorder="1"/>
    <xf numFmtId="167" fontId="2" fillId="2" borderId="15" xfId="0" applyNumberFormat="1" applyFont="1" applyFill="1" applyBorder="1"/>
    <xf numFmtId="166" fontId="2" fillId="2" borderId="15" xfId="0" applyNumberFormat="1" applyFont="1" applyFill="1" applyBorder="1"/>
    <xf numFmtId="166" fontId="2" fillId="2" borderId="37" xfId="0" applyNumberFormat="1" applyFont="1" applyFill="1" applyBorder="1"/>
    <xf numFmtId="167" fontId="2" fillId="2" borderId="37" xfId="0" applyNumberFormat="1" applyFont="1" applyFill="1" applyBorder="1"/>
    <xf numFmtId="164" fontId="27" fillId="2" borderId="15" xfId="0" applyNumberFormat="1" applyFont="1" applyFill="1" applyBorder="1" applyAlignment="1">
      <alignment horizontal="right"/>
    </xf>
    <xf numFmtId="0" fontId="6" fillId="2" borderId="15" xfId="0" applyFont="1" applyFill="1" applyBorder="1" applyAlignment="1">
      <alignment horizontal="right"/>
    </xf>
    <xf numFmtId="0" fontId="34" fillId="8" borderId="0" xfId="0" applyFont="1" applyFill="1" applyAlignment="1">
      <alignment vertical="center"/>
    </xf>
    <xf numFmtId="0" fontId="0" fillId="2" borderId="9" xfId="0" applyFill="1" applyBorder="1"/>
    <xf numFmtId="0" fontId="0" fillId="3" borderId="5" xfId="0" applyFill="1" applyBorder="1"/>
    <xf numFmtId="0" fontId="2" fillId="3" borderId="7" xfId="0" applyFont="1" applyFill="1" applyBorder="1"/>
    <xf numFmtId="0" fontId="0" fillId="3" borderId="9" xfId="0" applyFill="1" applyBorder="1"/>
    <xf numFmtId="0" fontId="2" fillId="2" borderId="4" xfId="0" applyFont="1" applyFill="1" applyBorder="1"/>
    <xf numFmtId="0" fontId="6" fillId="2" borderId="7" xfId="0" applyFont="1" applyFill="1" applyBorder="1"/>
    <xf numFmtId="0" fontId="37" fillId="2" borderId="7" xfId="0" applyFont="1" applyFill="1" applyBorder="1"/>
    <xf numFmtId="0" fontId="13" fillId="12" borderId="7" xfId="0" applyFont="1" applyFill="1" applyBorder="1"/>
    <xf numFmtId="0" fontId="15" fillId="12" borderId="0" xfId="0" applyFont="1" applyFill="1"/>
    <xf numFmtId="0" fontId="15" fillId="12" borderId="9" xfId="0" applyFont="1" applyFill="1" applyBorder="1"/>
    <xf numFmtId="0" fontId="5" fillId="2" borderId="8" xfId="0" applyFont="1" applyFill="1" applyBorder="1"/>
    <xf numFmtId="0" fontId="11" fillId="12" borderId="7" xfId="0" applyFont="1" applyFill="1" applyBorder="1"/>
    <xf numFmtId="2" fontId="0" fillId="2" borderId="7" xfId="1" applyNumberFormat="1" applyFont="1" applyFill="1" applyBorder="1"/>
    <xf numFmtId="2" fontId="0" fillId="2" borderId="0" xfId="0" applyNumberFormat="1" applyFill="1"/>
    <xf numFmtId="2" fontId="0" fillId="2" borderId="0" xfId="1" applyNumberFormat="1" applyFont="1" applyFill="1" applyBorder="1"/>
    <xf numFmtId="10" fontId="0" fillId="2" borderId="7" xfId="0" applyNumberFormat="1" applyFill="1" applyBorder="1"/>
    <xf numFmtId="9" fontId="0" fillId="2" borderId="7" xfId="1" applyFont="1" applyFill="1" applyBorder="1"/>
    <xf numFmtId="1" fontId="0" fillId="2" borderId="7" xfId="0" applyNumberFormat="1" applyFill="1" applyBorder="1"/>
    <xf numFmtId="0" fontId="34" fillId="8" borderId="0" xfId="0" applyFont="1" applyFill="1"/>
    <xf numFmtId="0" fontId="11" fillId="2" borderId="7" xfId="0" applyFont="1" applyFill="1" applyBorder="1"/>
    <xf numFmtId="10" fontId="0" fillId="10" borderId="15" xfId="1" applyNumberFormat="1" applyFont="1" applyFill="1" applyBorder="1"/>
    <xf numFmtId="0" fontId="0" fillId="8" borderId="0" xfId="0" applyFill="1"/>
    <xf numFmtId="0" fontId="2" fillId="8" borderId="0" xfId="0" applyFont="1" applyFill="1"/>
    <xf numFmtId="0" fontId="2" fillId="2" borderId="7" xfId="0" applyFont="1" applyFill="1" applyBorder="1"/>
    <xf numFmtId="3" fontId="2" fillId="7" borderId="50" xfId="0" applyNumberFormat="1" applyFont="1" applyFill="1" applyBorder="1"/>
    <xf numFmtId="3" fontId="2" fillId="7" borderId="18" xfId="0" applyNumberFormat="1" applyFont="1" applyFill="1" applyBorder="1"/>
    <xf numFmtId="3" fontId="2" fillId="7" borderId="51" xfId="0" applyNumberFormat="1" applyFont="1" applyFill="1" applyBorder="1"/>
    <xf numFmtId="3" fontId="0" fillId="9" borderId="11" xfId="0" applyNumberFormat="1" applyFill="1" applyBorder="1"/>
    <xf numFmtId="3" fontId="0" fillId="9" borderId="25" xfId="0" applyNumberFormat="1" applyFill="1" applyBorder="1"/>
    <xf numFmtId="3" fontId="2" fillId="7" borderId="9" xfId="0" applyNumberFormat="1" applyFont="1" applyFill="1" applyBorder="1"/>
    <xf numFmtId="0" fontId="15" fillId="12" borderId="7" xfId="0" applyFont="1" applyFill="1" applyBorder="1"/>
    <xf numFmtId="3" fontId="2" fillId="2" borderId="11" xfId="0" applyNumberFormat="1" applyFont="1" applyFill="1" applyBorder="1"/>
    <xf numFmtId="3" fontId="2" fillId="2" borderId="52" xfId="0" applyNumberFormat="1" applyFont="1" applyFill="1" applyBorder="1"/>
    <xf numFmtId="3" fontId="0" fillId="7" borderId="18" xfId="0" applyNumberFormat="1" applyFill="1" applyBorder="1"/>
    <xf numFmtId="3" fontId="0" fillId="7" borderId="9" xfId="0" applyNumberFormat="1" applyFill="1" applyBorder="1"/>
    <xf numFmtId="3" fontId="0" fillId="7" borderId="50" xfId="0" applyNumberFormat="1" applyFill="1" applyBorder="1"/>
    <xf numFmtId="3" fontId="0" fillId="7" borderId="51" xfId="0" applyNumberFormat="1" applyFill="1" applyBorder="1"/>
    <xf numFmtId="3" fontId="2" fillId="7" borderId="20" xfId="0" applyNumberFormat="1" applyFont="1" applyFill="1" applyBorder="1"/>
    <xf numFmtId="3" fontId="2" fillId="7" borderId="16" xfId="0" applyNumberFormat="1" applyFont="1" applyFill="1" applyBorder="1"/>
    <xf numFmtId="3" fontId="2" fillId="7" borderId="95" xfId="0" applyNumberFormat="1" applyFont="1" applyFill="1" applyBorder="1"/>
    <xf numFmtId="3" fontId="2" fillId="7" borderId="96" xfId="0" applyNumberFormat="1" applyFont="1" applyFill="1" applyBorder="1"/>
    <xf numFmtId="3" fontId="2" fillId="10" borderId="40" xfId="0" applyNumberFormat="1" applyFont="1" applyFill="1" applyBorder="1"/>
    <xf numFmtId="0" fontId="0" fillId="2" borderId="35" xfId="0" quotePrefix="1" applyFill="1" applyBorder="1" applyAlignment="1">
      <alignment horizontal="left" indent="3"/>
    </xf>
    <xf numFmtId="0" fontId="0" fillId="2" borderId="38" xfId="0" quotePrefix="1" applyFill="1" applyBorder="1" applyAlignment="1">
      <alignment horizontal="left" indent="4"/>
    </xf>
    <xf numFmtId="0" fontId="0" fillId="2" borderId="35" xfId="0" quotePrefix="1" applyFill="1" applyBorder="1" applyAlignment="1">
      <alignment horizontal="left" wrapText="1" indent="3"/>
    </xf>
    <xf numFmtId="0" fontId="2" fillId="2" borderId="38" xfId="0" applyFont="1" applyFill="1" applyBorder="1" applyAlignment="1">
      <alignment horizontal="left" indent="2"/>
    </xf>
    <xf numFmtId="0" fontId="39" fillId="2" borderId="35" xfId="0" applyFont="1" applyFill="1" applyBorder="1" applyAlignment="1">
      <alignment horizontal="left" indent="1"/>
    </xf>
    <xf numFmtId="0" fontId="15" fillId="2" borderId="0" xfId="0" applyFont="1" applyFill="1" applyAlignment="1">
      <alignment horizontal="center"/>
    </xf>
    <xf numFmtId="3" fontId="0" fillId="2" borderId="54" xfId="0" applyNumberFormat="1" applyFill="1" applyBorder="1"/>
    <xf numFmtId="3" fontId="0" fillId="2" borderId="55" xfId="0" applyNumberFormat="1" applyFill="1" applyBorder="1"/>
    <xf numFmtId="3" fontId="2" fillId="2" borderId="54" xfId="0" applyNumberFormat="1" applyFont="1" applyFill="1" applyBorder="1"/>
    <xf numFmtId="3" fontId="2" fillId="2" borderId="12" xfId="0" applyNumberFormat="1" applyFont="1" applyFill="1" applyBorder="1"/>
    <xf numFmtId="3" fontId="2" fillId="2" borderId="55" xfId="0" applyNumberFormat="1" applyFont="1" applyFill="1" applyBorder="1"/>
    <xf numFmtId="3" fontId="2" fillId="7" borderId="33" xfId="0" applyNumberFormat="1" applyFont="1" applyFill="1" applyBorder="1"/>
    <xf numFmtId="3" fontId="2" fillId="7" borderId="34" xfId="0" applyNumberFormat="1" applyFont="1" applyFill="1" applyBorder="1"/>
    <xf numFmtId="3" fontId="2" fillId="10" borderId="18" xfId="0" applyNumberFormat="1" applyFont="1" applyFill="1" applyBorder="1"/>
    <xf numFmtId="3" fontId="0" fillId="3" borderId="46" xfId="0" applyNumberFormat="1" applyFill="1" applyBorder="1"/>
    <xf numFmtId="3" fontId="2" fillId="2" borderId="79" xfId="0" applyNumberFormat="1" applyFont="1" applyFill="1" applyBorder="1"/>
    <xf numFmtId="3" fontId="0" fillId="2" borderId="64" xfId="0" applyNumberFormat="1" applyFill="1" applyBorder="1" applyAlignment="1">
      <alignment horizontal="right"/>
    </xf>
    <xf numFmtId="3" fontId="0" fillId="2" borderId="37" xfId="0" applyNumberFormat="1" applyFill="1" applyBorder="1" applyAlignment="1">
      <alignment horizontal="right"/>
    </xf>
    <xf numFmtId="3" fontId="0" fillId="2" borderId="66" xfId="0" applyNumberFormat="1" applyFill="1" applyBorder="1" applyAlignment="1">
      <alignment horizontal="right"/>
    </xf>
    <xf numFmtId="3" fontId="2" fillId="2" borderId="76" xfId="0" applyNumberFormat="1" applyFont="1" applyFill="1" applyBorder="1" applyAlignment="1">
      <alignment horizontal="right"/>
    </xf>
    <xf numFmtId="3" fontId="2" fillId="2" borderId="48" xfId="0" applyNumberFormat="1" applyFont="1" applyFill="1" applyBorder="1" applyAlignment="1">
      <alignment horizontal="right"/>
    </xf>
    <xf numFmtId="3" fontId="0" fillId="2" borderId="9" xfId="0" applyNumberFormat="1" applyFill="1" applyBorder="1" applyAlignment="1">
      <alignment horizontal="right"/>
    </xf>
    <xf numFmtId="3" fontId="0" fillId="2" borderId="11" xfId="0" applyNumberFormat="1" applyFill="1" applyBorder="1" applyAlignment="1">
      <alignment horizontal="right"/>
    </xf>
    <xf numFmtId="3" fontId="0" fillId="2" borderId="25" xfId="0" applyNumberFormat="1" applyFill="1" applyBorder="1" applyAlignment="1">
      <alignment horizontal="right"/>
    </xf>
    <xf numFmtId="3" fontId="2" fillId="2" borderId="74" xfId="0" applyNumberFormat="1" applyFont="1" applyFill="1" applyBorder="1" applyAlignment="1">
      <alignment horizontal="right"/>
    </xf>
    <xf numFmtId="3" fontId="2" fillId="2" borderId="65" xfId="0" applyNumberFormat="1" applyFont="1" applyFill="1" applyBorder="1" applyAlignment="1">
      <alignment horizontal="right"/>
    </xf>
    <xf numFmtId="0" fontId="43" fillId="2" borderId="11" xfId="0" applyFont="1" applyFill="1" applyBorder="1"/>
    <xf numFmtId="0" fontId="48" fillId="3" borderId="15" xfId="0" applyFont="1" applyFill="1" applyBorder="1" applyAlignment="1">
      <alignment horizontal="center"/>
    </xf>
    <xf numFmtId="0" fontId="6" fillId="3" borderId="31" xfId="0" applyFont="1" applyFill="1" applyBorder="1" applyAlignment="1">
      <alignment horizontal="right"/>
    </xf>
    <xf numFmtId="0" fontId="6" fillId="3" borderId="32" xfId="0" applyFont="1" applyFill="1" applyBorder="1" applyAlignment="1">
      <alignment horizontal="right"/>
    </xf>
    <xf numFmtId="0" fontId="35" fillId="3" borderId="18" xfId="0" applyFont="1" applyFill="1" applyBorder="1" applyAlignment="1">
      <alignment horizontal="right"/>
    </xf>
    <xf numFmtId="0" fontId="35" fillId="3" borderId="34" xfId="0" applyFont="1" applyFill="1" applyBorder="1" applyAlignment="1">
      <alignment horizontal="right"/>
    </xf>
    <xf numFmtId="0" fontId="38" fillId="3" borderId="15" xfId="0" applyFont="1" applyFill="1" applyBorder="1" applyAlignment="1">
      <alignment horizontal="right"/>
    </xf>
    <xf numFmtId="0" fontId="38" fillId="3" borderId="37" xfId="0" applyFont="1" applyFill="1" applyBorder="1" applyAlignment="1">
      <alignment horizontal="right"/>
    </xf>
    <xf numFmtId="0" fontId="6" fillId="3" borderId="30" xfId="0" applyFont="1" applyFill="1" applyBorder="1" applyAlignment="1">
      <alignment horizontal="right"/>
    </xf>
    <xf numFmtId="0" fontId="6" fillId="3" borderId="28" xfId="0" applyFont="1" applyFill="1" applyBorder="1" applyAlignment="1">
      <alignment horizontal="right"/>
    </xf>
    <xf numFmtId="0" fontId="35" fillId="3" borderId="9" xfId="0" applyFont="1" applyFill="1" applyBorder="1" applyAlignment="1">
      <alignment horizontal="right"/>
    </xf>
    <xf numFmtId="0" fontId="35" fillId="3" borderId="1" xfId="0" applyFont="1" applyFill="1" applyBorder="1" applyAlignment="1">
      <alignment horizontal="right"/>
    </xf>
    <xf numFmtId="0" fontId="6" fillId="3" borderId="90" xfId="0" applyFont="1" applyFill="1" applyBorder="1" applyAlignment="1">
      <alignment horizontal="right"/>
    </xf>
    <xf numFmtId="0" fontId="35" fillId="3" borderId="7" xfId="0" applyFont="1" applyFill="1" applyBorder="1" applyAlignment="1">
      <alignment horizontal="right"/>
    </xf>
    <xf numFmtId="0" fontId="35" fillId="3" borderId="92" xfId="0" applyFont="1" applyFill="1" applyBorder="1" applyAlignment="1">
      <alignment horizontal="right"/>
    </xf>
    <xf numFmtId="0" fontId="5" fillId="3" borderId="9" xfId="0" applyFont="1" applyFill="1" applyBorder="1" applyAlignment="1">
      <alignment horizontal="right"/>
    </xf>
    <xf numFmtId="0" fontId="5" fillId="3" borderId="51" xfId="0" applyFont="1" applyFill="1" applyBorder="1" applyAlignment="1">
      <alignment horizontal="right"/>
    </xf>
    <xf numFmtId="0" fontId="54" fillId="2" borderId="0" xfId="0" applyFont="1" applyFill="1"/>
    <xf numFmtId="0" fontId="2" fillId="8" borderId="15" xfId="0" applyFont="1" applyFill="1" applyBorder="1" applyAlignment="1">
      <alignment horizontal="center"/>
    </xf>
    <xf numFmtId="164" fontId="32" fillId="2" borderId="0" xfId="1" applyNumberFormat="1" applyFont="1" applyFill="1" applyBorder="1" applyAlignment="1">
      <alignment horizontal="right"/>
    </xf>
    <xf numFmtId="0" fontId="32" fillId="3" borderId="30" xfId="0" applyFont="1" applyFill="1" applyBorder="1" applyAlignment="1">
      <alignment horizontal="right"/>
    </xf>
    <xf numFmtId="0" fontId="32" fillId="3" borderId="24" xfId="0" applyFont="1" applyFill="1" applyBorder="1" applyAlignment="1">
      <alignment horizontal="center"/>
    </xf>
    <xf numFmtId="0" fontId="32" fillId="3" borderId="4" xfId="0" applyFont="1" applyFill="1" applyBorder="1" applyAlignment="1">
      <alignment horizontal="center"/>
    </xf>
    <xf numFmtId="0" fontId="32" fillId="3" borderId="31" xfId="0" applyFont="1" applyFill="1" applyBorder="1" applyAlignment="1">
      <alignment horizontal="right"/>
    </xf>
    <xf numFmtId="0" fontId="56" fillId="3" borderId="24" xfId="0" applyFont="1" applyFill="1" applyBorder="1" applyAlignment="1">
      <alignment horizontal="right"/>
    </xf>
    <xf numFmtId="0" fontId="0" fillId="9" borderId="0" xfId="0" applyFill="1"/>
    <xf numFmtId="0" fontId="2" fillId="9" borderId="0" xfId="0" applyFont="1" applyFill="1"/>
    <xf numFmtId="0" fontId="57" fillId="2" borderId="0" xfId="0" applyFont="1" applyFill="1"/>
    <xf numFmtId="0" fontId="58" fillId="2" borderId="0" xfId="0" applyFont="1" applyFill="1"/>
    <xf numFmtId="164" fontId="0" fillId="2" borderId="0" xfId="1" applyNumberFormat="1" applyFont="1" applyFill="1"/>
    <xf numFmtId="167" fontId="0" fillId="2" borderId="0" xfId="0" applyNumberFormat="1" applyFill="1"/>
    <xf numFmtId="3" fontId="0" fillId="12" borderId="0" xfId="0" applyNumberFormat="1" applyFill="1"/>
    <xf numFmtId="0" fontId="59" fillId="0" borderId="0" xfId="2"/>
    <xf numFmtId="0" fontId="25" fillId="2" borderId="0" xfId="0" applyFont="1" applyFill="1" applyAlignment="1">
      <alignment horizontal="left" indent="1"/>
    </xf>
    <xf numFmtId="0" fontId="6" fillId="9" borderId="0" xfId="0" applyFont="1" applyFill="1" applyProtection="1">
      <protection locked="0"/>
    </xf>
    <xf numFmtId="0" fontId="5" fillId="9" borderId="0" xfId="0" applyFont="1" applyFill="1" applyAlignment="1" applyProtection="1">
      <alignment horizontal="right"/>
      <protection locked="0"/>
    </xf>
    <xf numFmtId="0" fontId="25" fillId="9" borderId="7" xfId="0" applyFont="1" applyFill="1" applyBorder="1" applyProtection="1">
      <protection locked="0"/>
    </xf>
    <xf numFmtId="0" fontId="55" fillId="9" borderId="19" xfId="0" applyFont="1" applyFill="1" applyBorder="1" applyProtection="1">
      <protection locked="0"/>
    </xf>
    <xf numFmtId="1" fontId="25" fillId="9" borderId="4" xfId="0" applyNumberFormat="1" applyFont="1" applyFill="1" applyBorder="1" applyAlignment="1" applyProtection="1">
      <alignment horizontal="center"/>
      <protection locked="0"/>
    </xf>
    <xf numFmtId="0" fontId="25" fillId="9" borderId="5" xfId="0" applyFont="1" applyFill="1" applyBorder="1" applyAlignment="1" applyProtection="1">
      <alignment horizontal="center"/>
      <protection locked="0"/>
    </xf>
    <xf numFmtId="165" fontId="5" fillId="9" borderId="4" xfId="0" applyNumberFormat="1" applyFont="1" applyFill="1" applyBorder="1" applyAlignment="1" applyProtection="1">
      <alignment horizontal="right"/>
      <protection locked="0"/>
    </xf>
    <xf numFmtId="1" fontId="25" fillId="9" borderId="7" xfId="0" applyNumberFormat="1" applyFont="1" applyFill="1" applyBorder="1" applyAlignment="1" applyProtection="1">
      <alignment horizontal="center"/>
      <protection locked="0"/>
    </xf>
    <xf numFmtId="0" fontId="25" fillId="9" borderId="0" xfId="0" applyFont="1" applyFill="1" applyAlignment="1" applyProtection="1">
      <alignment horizontal="center"/>
      <protection locked="0"/>
    </xf>
    <xf numFmtId="165" fontId="5" fillId="9" borderId="7" xfId="0" applyNumberFormat="1" applyFont="1" applyFill="1" applyBorder="1" applyAlignment="1" applyProtection="1">
      <alignment horizontal="right"/>
      <protection locked="0"/>
    </xf>
    <xf numFmtId="0" fontId="25" fillId="9" borderId="14" xfId="0" applyFont="1" applyFill="1" applyBorder="1" applyProtection="1">
      <protection locked="0"/>
    </xf>
    <xf numFmtId="0" fontId="55" fillId="9" borderId="21" xfId="0" applyFont="1" applyFill="1" applyBorder="1" applyProtection="1">
      <protection locked="0"/>
    </xf>
    <xf numFmtId="1" fontId="25" fillId="9" borderId="14" xfId="0" applyNumberFormat="1" applyFont="1" applyFill="1" applyBorder="1" applyAlignment="1" applyProtection="1">
      <alignment horizontal="center"/>
      <protection locked="0"/>
    </xf>
    <xf numFmtId="0" fontId="25" fillId="9" borderId="2" xfId="0" applyFont="1" applyFill="1" applyBorder="1" applyAlignment="1" applyProtection="1">
      <alignment horizontal="center"/>
      <protection locked="0"/>
    </xf>
    <xf numFmtId="164" fontId="5" fillId="9" borderId="5" xfId="0" applyNumberFormat="1" applyFont="1" applyFill="1" applyBorder="1" applyProtection="1">
      <protection locked="0"/>
    </xf>
    <xf numFmtId="164" fontId="5" fillId="9" borderId="0" xfId="0" applyNumberFormat="1" applyFont="1" applyFill="1" applyProtection="1">
      <protection locked="0"/>
    </xf>
    <xf numFmtId="164" fontId="5" fillId="9" borderId="4" xfId="0" applyNumberFormat="1" applyFont="1" applyFill="1" applyBorder="1" applyProtection="1">
      <protection locked="0"/>
    </xf>
    <xf numFmtId="164" fontId="5" fillId="9" borderId="7" xfId="0" applyNumberFormat="1" applyFont="1" applyFill="1" applyBorder="1" applyProtection="1">
      <protection locked="0"/>
    </xf>
    <xf numFmtId="164" fontId="5" fillId="9" borderId="14" xfId="0" applyNumberFormat="1" applyFont="1" applyFill="1" applyBorder="1" applyProtection="1">
      <protection locked="0"/>
    </xf>
    <xf numFmtId="0" fontId="25" fillId="9" borderId="24" xfId="0" applyFont="1" applyFill="1" applyBorder="1" applyProtection="1">
      <protection locked="0"/>
    </xf>
    <xf numFmtId="0" fontId="25" fillId="9" borderId="19" xfId="0" applyFont="1" applyFill="1" applyBorder="1" applyProtection="1">
      <protection locked="0"/>
    </xf>
    <xf numFmtId="165" fontId="5" fillId="9" borderId="14" xfId="0" applyNumberFormat="1" applyFont="1" applyFill="1" applyBorder="1" applyAlignment="1" applyProtection="1">
      <alignment horizontal="right"/>
      <protection locked="0"/>
    </xf>
    <xf numFmtId="164" fontId="5" fillId="9" borderId="2" xfId="0" applyNumberFormat="1" applyFont="1" applyFill="1" applyBorder="1" applyProtection="1">
      <protection locked="0"/>
    </xf>
    <xf numFmtId="0" fontId="0" fillId="9" borderId="1" xfId="0" applyFill="1" applyBorder="1" applyAlignment="1" applyProtection="1">
      <alignment horizontal="left"/>
      <protection locked="0"/>
    </xf>
    <xf numFmtId="14" fontId="0" fillId="9" borderId="1" xfId="0" applyNumberFormat="1" applyFill="1" applyBorder="1" applyAlignment="1" applyProtection="1">
      <alignment horizontal="left"/>
      <protection locked="0"/>
    </xf>
    <xf numFmtId="0" fontId="35" fillId="9" borderId="15" xfId="0" applyFont="1" applyFill="1" applyBorder="1" applyProtection="1">
      <protection locked="0"/>
    </xf>
    <xf numFmtId="3" fontId="0" fillId="9" borderId="15" xfId="0" applyNumberFormat="1" applyFill="1" applyBorder="1" applyProtection="1">
      <protection locked="0"/>
    </xf>
    <xf numFmtId="166" fontId="27" fillId="9" borderId="15" xfId="0" applyNumberFormat="1" applyFont="1" applyFill="1" applyBorder="1" applyProtection="1">
      <protection locked="0"/>
    </xf>
    <xf numFmtId="10" fontId="27" fillId="9" borderId="15" xfId="0" applyNumberFormat="1" applyFont="1" applyFill="1" applyBorder="1" applyProtection="1">
      <protection locked="0"/>
    </xf>
    <xf numFmtId="3" fontId="0" fillId="9" borderId="23" xfId="0" applyNumberFormat="1" applyFill="1" applyBorder="1" applyProtection="1">
      <protection locked="0"/>
    </xf>
    <xf numFmtId="3" fontId="0" fillId="9" borderId="9" xfId="0" applyNumberFormat="1" applyFill="1" applyBorder="1" applyProtection="1">
      <protection locked="0"/>
    </xf>
    <xf numFmtId="3" fontId="0" fillId="9" borderId="18" xfId="0" applyNumberFormat="1" applyFill="1" applyBorder="1" applyProtection="1">
      <protection locked="0"/>
    </xf>
    <xf numFmtId="3" fontId="0" fillId="9" borderId="13" xfId="0" applyNumberFormat="1" applyFill="1" applyBorder="1" applyProtection="1">
      <protection locked="0"/>
    </xf>
    <xf numFmtId="0" fontId="0" fillId="9" borderId="13" xfId="0" applyFill="1" applyBorder="1" applyProtection="1">
      <protection locked="0"/>
    </xf>
    <xf numFmtId="0" fontId="0" fillId="9" borderId="10" xfId="0" applyFill="1" applyBorder="1" applyProtection="1">
      <protection locked="0"/>
    </xf>
    <xf numFmtId="3" fontId="0" fillId="9" borderId="47" xfId="0" applyNumberFormat="1" applyFill="1" applyBorder="1" applyProtection="1">
      <protection locked="0"/>
    </xf>
    <xf numFmtId="0" fontId="2" fillId="2" borderId="4" xfId="0" applyFont="1"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2" borderId="0" xfId="0" applyFill="1" applyProtection="1">
      <protection locked="0"/>
    </xf>
    <xf numFmtId="0" fontId="0" fillId="2" borderId="8" xfId="0" applyFill="1" applyBorder="1" applyProtection="1">
      <protection locked="0"/>
    </xf>
    <xf numFmtId="3" fontId="0" fillId="2" borderId="0" xfId="0" applyNumberFormat="1" applyFill="1" applyProtection="1">
      <protection locked="0"/>
    </xf>
    <xf numFmtId="0" fontId="14" fillId="2" borderId="7" xfId="0" applyFont="1"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0" xfId="0" applyFill="1" applyBorder="1" applyProtection="1">
      <protection locked="0"/>
    </xf>
    <xf numFmtId="0" fontId="35" fillId="9" borderId="35" xfId="0" applyFont="1" applyFill="1" applyBorder="1" applyProtection="1">
      <protection locked="0"/>
    </xf>
    <xf numFmtId="0" fontId="35" fillId="9" borderId="36" xfId="0" applyFont="1" applyFill="1" applyBorder="1" applyProtection="1">
      <protection locked="0"/>
    </xf>
    <xf numFmtId="0" fontId="2" fillId="9" borderId="33" xfId="0" applyFont="1" applyFill="1" applyBorder="1" applyProtection="1">
      <protection locked="0"/>
    </xf>
    <xf numFmtId="0" fontId="2" fillId="9" borderId="34" xfId="0" applyFont="1" applyFill="1" applyBorder="1" applyProtection="1">
      <protection locked="0"/>
    </xf>
    <xf numFmtId="3" fontId="0" fillId="9" borderId="50" xfId="0" applyNumberFormat="1" applyFill="1" applyBorder="1" applyProtection="1">
      <protection locked="0"/>
    </xf>
    <xf numFmtId="3" fontId="0" fillId="9" borderId="52" xfId="0" applyNumberFormat="1" applyFill="1" applyBorder="1" applyProtection="1">
      <protection locked="0"/>
    </xf>
    <xf numFmtId="3" fontId="0" fillId="9" borderId="67" xfId="0" applyNumberFormat="1" applyFill="1" applyBorder="1" applyProtection="1">
      <protection locked="0"/>
    </xf>
    <xf numFmtId="166" fontId="25" fillId="9" borderId="37" xfId="1" applyNumberFormat="1" applyFont="1" applyFill="1" applyBorder="1" applyAlignment="1" applyProtection="1">
      <protection locked="0"/>
    </xf>
    <xf numFmtId="10" fontId="39" fillId="9" borderId="52" xfId="0" applyNumberFormat="1" applyFont="1" applyFill="1" applyBorder="1" applyProtection="1">
      <protection locked="0"/>
    </xf>
    <xf numFmtId="167" fontId="0" fillId="9" borderId="11" xfId="0" applyNumberFormat="1" applyFill="1" applyBorder="1" applyProtection="1">
      <protection locked="0"/>
    </xf>
    <xf numFmtId="167" fontId="0" fillId="9" borderId="13" xfId="0" applyNumberFormat="1" applyFill="1" applyBorder="1" applyProtection="1">
      <protection locked="0"/>
    </xf>
    <xf numFmtId="164" fontId="0" fillId="9" borderId="15" xfId="0" applyNumberFormat="1" applyFill="1" applyBorder="1" applyAlignment="1" applyProtection="1">
      <alignment horizontal="center"/>
      <protection locked="0"/>
    </xf>
    <xf numFmtId="3" fontId="0" fillId="2" borderId="7" xfId="0" applyNumberFormat="1" applyFill="1" applyBorder="1" applyProtection="1">
      <protection locked="0"/>
    </xf>
    <xf numFmtId="3" fontId="2" fillId="9" borderId="15" xfId="0" applyNumberFormat="1" applyFont="1" applyFill="1" applyBorder="1" applyProtection="1">
      <protection locked="0"/>
    </xf>
    <xf numFmtId="3" fontId="0" fillId="9" borderId="37" xfId="0" applyNumberFormat="1" applyFill="1" applyBorder="1" applyProtection="1">
      <protection locked="0"/>
    </xf>
    <xf numFmtId="164" fontId="5" fillId="9" borderId="15" xfId="0" quotePrefix="1" applyNumberFormat="1" applyFont="1" applyFill="1" applyBorder="1" applyAlignment="1" applyProtection="1">
      <alignment horizontal="center"/>
      <protection locked="0"/>
    </xf>
    <xf numFmtId="0" fontId="0" fillId="9" borderId="15" xfId="0" applyFill="1" applyBorder="1" applyAlignment="1" applyProtection="1">
      <alignment horizontal="center"/>
      <protection locked="0"/>
    </xf>
    <xf numFmtId="3" fontId="0" fillId="9" borderId="40" xfId="0" applyNumberFormat="1" applyFill="1" applyBorder="1" applyProtection="1">
      <protection locked="0"/>
    </xf>
    <xf numFmtId="3" fontId="0" fillId="9" borderId="41" xfId="0" applyNumberFormat="1" applyFill="1" applyBorder="1" applyProtection="1">
      <protection locked="0"/>
    </xf>
    <xf numFmtId="3" fontId="2" fillId="9" borderId="37" xfId="0" applyNumberFormat="1" applyFont="1" applyFill="1" applyBorder="1" applyProtection="1">
      <protection locked="0"/>
    </xf>
    <xf numFmtId="3" fontId="2" fillId="9" borderId="40" xfId="0" applyNumberFormat="1" applyFont="1" applyFill="1" applyBorder="1" applyProtection="1">
      <protection locked="0"/>
    </xf>
    <xf numFmtId="10" fontId="39" fillId="9" borderId="15" xfId="1" applyNumberFormat="1" applyFont="1" applyFill="1" applyBorder="1" applyProtection="1">
      <protection locked="0"/>
    </xf>
    <xf numFmtId="10" fontId="39" fillId="9" borderId="37" xfId="1" applyNumberFormat="1" applyFont="1" applyFill="1" applyBorder="1" applyProtection="1">
      <protection locked="0"/>
    </xf>
    <xf numFmtId="10" fontId="39" fillId="9" borderId="15" xfId="0" applyNumberFormat="1" applyFont="1" applyFill="1" applyBorder="1" applyProtection="1">
      <protection locked="0"/>
    </xf>
    <xf numFmtId="10" fontId="39" fillId="9" borderId="37" xfId="0" applyNumberFormat="1" applyFont="1" applyFill="1" applyBorder="1" applyProtection="1">
      <protection locked="0"/>
    </xf>
    <xf numFmtId="0" fontId="0" fillId="9" borderId="15" xfId="0" applyFill="1" applyBorder="1" applyProtection="1">
      <protection locked="0"/>
    </xf>
    <xf numFmtId="0" fontId="14" fillId="2" borderId="0" xfId="0" applyFont="1" applyFill="1" applyProtection="1">
      <protection locked="0"/>
    </xf>
    <xf numFmtId="0" fontId="28" fillId="2" borderId="7" xfId="0" applyFont="1" applyFill="1" applyBorder="1" applyAlignment="1" applyProtection="1">
      <alignment vertical="center"/>
      <protection locked="0"/>
    </xf>
    <xf numFmtId="0" fontId="0" fillId="2" borderId="0" xfId="0" applyFill="1" applyAlignment="1" applyProtection="1">
      <alignment vertical="center"/>
      <protection locked="0"/>
    </xf>
    <xf numFmtId="0" fontId="0" fillId="2" borderId="8" xfId="0" applyFill="1" applyBorder="1" applyAlignment="1" applyProtection="1">
      <alignment vertical="center"/>
      <protection locked="0"/>
    </xf>
    <xf numFmtId="0" fontId="5" fillId="2" borderId="7" xfId="0" applyFont="1" applyFill="1" applyBorder="1" applyProtection="1">
      <protection locked="0"/>
    </xf>
    <xf numFmtId="0" fontId="5" fillId="2" borderId="0" xfId="0" applyFont="1" applyFill="1" applyProtection="1">
      <protection locked="0"/>
    </xf>
    <xf numFmtId="0" fontId="5" fillId="2" borderId="8" xfId="0" applyFont="1" applyFill="1" applyBorder="1" applyProtection="1">
      <protection locked="0"/>
    </xf>
    <xf numFmtId="3" fontId="5" fillId="2" borderId="0" xfId="0" applyNumberFormat="1" applyFont="1" applyFill="1" applyProtection="1">
      <protection locked="0"/>
    </xf>
    <xf numFmtId="0" fontId="4" fillId="2" borderId="7" xfId="0" applyFont="1" applyFill="1" applyBorder="1" applyProtection="1">
      <protection locked="0"/>
    </xf>
    <xf numFmtId="3" fontId="41" fillId="2" borderId="7" xfId="0" applyNumberFormat="1" applyFont="1" applyFill="1" applyBorder="1" applyProtection="1">
      <protection locked="0"/>
    </xf>
    <xf numFmtId="0" fontId="5" fillId="2" borderId="9" xfId="0" applyFont="1" applyFill="1" applyBorder="1" applyProtection="1">
      <protection locked="0"/>
    </xf>
    <xf numFmtId="0" fontId="5" fillId="2" borderId="1" xfId="0" applyFont="1" applyFill="1" applyBorder="1" applyProtection="1">
      <protection locked="0"/>
    </xf>
    <xf numFmtId="0" fontId="5" fillId="2" borderId="10" xfId="0" applyFont="1" applyFill="1" applyBorder="1" applyProtection="1">
      <protection locked="0"/>
    </xf>
    <xf numFmtId="0" fontId="5" fillId="9" borderId="18" xfId="0" applyFont="1" applyFill="1" applyBorder="1" applyProtection="1">
      <protection locked="0"/>
    </xf>
    <xf numFmtId="0" fontId="0" fillId="9" borderId="18" xfId="0" applyFill="1" applyBorder="1" applyProtection="1">
      <protection locked="0"/>
    </xf>
    <xf numFmtId="164" fontId="0" fillId="9" borderId="18" xfId="1" applyNumberFormat="1" applyFont="1" applyFill="1" applyBorder="1" applyProtection="1">
      <protection locked="0"/>
    </xf>
    <xf numFmtId="0" fontId="5" fillId="9" borderId="15" xfId="0" applyFont="1" applyFill="1" applyBorder="1" applyProtection="1">
      <protection locked="0"/>
    </xf>
    <xf numFmtId="164" fontId="0" fillId="9" borderId="11" xfId="1" applyNumberFormat="1" applyFont="1" applyFill="1" applyBorder="1" applyProtection="1">
      <protection locked="0"/>
    </xf>
    <xf numFmtId="0" fontId="5" fillId="9" borderId="23" xfId="0" applyFont="1" applyFill="1" applyBorder="1" applyProtection="1">
      <protection locked="0"/>
    </xf>
    <xf numFmtId="0" fontId="0" fillId="9" borderId="23" xfId="0" applyFill="1" applyBorder="1" applyProtection="1">
      <protection locked="0"/>
    </xf>
    <xf numFmtId="164" fontId="0" fillId="9" borderId="25" xfId="1" applyNumberFormat="1" applyFont="1" applyFill="1" applyBorder="1" applyProtection="1">
      <protection locked="0"/>
    </xf>
    <xf numFmtId="0" fontId="2" fillId="9" borderId="47" xfId="0" applyFont="1" applyFill="1" applyBorder="1" applyProtection="1">
      <protection locked="0"/>
    </xf>
    <xf numFmtId="164" fontId="2" fillId="9" borderId="65" xfId="1" applyNumberFormat="1" applyFont="1" applyFill="1" applyBorder="1" applyProtection="1">
      <protection locked="0"/>
    </xf>
    <xf numFmtId="164" fontId="0" fillId="9" borderId="9" xfId="0" applyNumberFormat="1" applyFill="1" applyBorder="1" applyProtection="1">
      <protection locked="0"/>
    </xf>
    <xf numFmtId="164" fontId="0" fillId="9" borderId="11" xfId="0" applyNumberFormat="1" applyFill="1" applyBorder="1" applyProtection="1">
      <protection locked="0"/>
    </xf>
    <xf numFmtId="0" fontId="5" fillId="9" borderId="40" xfId="0" applyFont="1" applyFill="1" applyBorder="1" applyProtection="1">
      <protection locked="0"/>
    </xf>
    <xf numFmtId="164" fontId="0" fillId="9" borderId="63" xfId="0" applyNumberFormat="1" applyFill="1" applyBorder="1" applyProtection="1">
      <protection locked="0"/>
    </xf>
    <xf numFmtId="3" fontId="0" fillId="9" borderId="53" xfId="0" applyNumberFormat="1" applyFill="1" applyBorder="1" applyProtection="1">
      <protection locked="0"/>
    </xf>
    <xf numFmtId="164" fontId="0" fillId="9" borderId="66" xfId="0" applyNumberFormat="1" applyFill="1" applyBorder="1" applyProtection="1">
      <protection locked="0"/>
    </xf>
    <xf numFmtId="164" fontId="0" fillId="9" borderId="25" xfId="0" applyNumberFormat="1" applyFill="1" applyBorder="1" applyProtection="1">
      <protection locked="0"/>
    </xf>
    <xf numFmtId="164" fontId="2" fillId="9" borderId="77" xfId="0" applyNumberFormat="1" applyFont="1" applyFill="1" applyBorder="1" applyProtection="1">
      <protection locked="0"/>
    </xf>
    <xf numFmtId="3" fontId="2" fillId="9" borderId="78" xfId="0" applyNumberFormat="1" applyFont="1" applyFill="1" applyBorder="1" applyProtection="1">
      <protection locked="0"/>
    </xf>
    <xf numFmtId="3" fontId="2" fillId="9" borderId="80" xfId="0" applyNumberFormat="1" applyFont="1" applyFill="1" applyBorder="1" applyProtection="1">
      <protection locked="0"/>
    </xf>
    <xf numFmtId="0" fontId="2" fillId="9" borderId="13" xfId="0" applyFont="1" applyFill="1" applyBorder="1" applyProtection="1">
      <protection locked="0"/>
    </xf>
    <xf numFmtId="4" fontId="0" fillId="9" borderId="15" xfId="0" applyNumberFormat="1" applyFill="1" applyBorder="1" applyProtection="1">
      <protection locked="0"/>
    </xf>
    <xf numFmtId="167" fontId="0" fillId="9" borderId="15" xfId="0" applyNumberFormat="1" applyFill="1" applyBorder="1" applyProtection="1">
      <protection locked="0"/>
    </xf>
    <xf numFmtId="166" fontId="0" fillId="9" borderId="15" xfId="0" applyNumberFormat="1" applyFill="1" applyBorder="1" applyProtection="1">
      <protection locked="0"/>
    </xf>
    <xf numFmtId="0" fontId="0" fillId="9" borderId="40" xfId="0" applyFill="1" applyBorder="1" applyProtection="1">
      <protection locked="0"/>
    </xf>
    <xf numFmtId="3" fontId="28" fillId="9" borderId="15" xfId="0" applyNumberFormat="1" applyFont="1" applyFill="1" applyBorder="1" applyProtection="1">
      <protection locked="0"/>
    </xf>
    <xf numFmtId="10" fontId="40" fillId="9" borderId="15" xfId="0" applyNumberFormat="1" applyFont="1" applyFill="1" applyBorder="1" applyProtection="1">
      <protection locked="0"/>
    </xf>
    <xf numFmtId="0" fontId="2" fillId="9" borderId="11" xfId="0" applyFont="1" applyFill="1" applyBorder="1" applyProtection="1">
      <protection locked="0"/>
    </xf>
    <xf numFmtId="164" fontId="0" fillId="9" borderId="15" xfId="1" applyNumberFormat="1" applyFont="1" applyFill="1" applyBorder="1" applyProtection="1">
      <protection locked="0"/>
    </xf>
    <xf numFmtId="164" fontId="0" fillId="9" borderId="15" xfId="0" applyNumberFormat="1" applyFill="1" applyBorder="1" applyProtection="1">
      <protection locked="0"/>
    </xf>
    <xf numFmtId="0" fontId="60" fillId="2" borderId="35" xfId="0" applyFont="1" applyFill="1" applyBorder="1"/>
    <xf numFmtId="3" fontId="60" fillId="2" borderId="0" xfId="0" applyNumberFormat="1" applyFont="1" applyFill="1"/>
    <xf numFmtId="3" fontId="60" fillId="2" borderId="36" xfId="0" applyNumberFormat="1" applyFont="1" applyFill="1" applyBorder="1"/>
    <xf numFmtId="166" fontId="39" fillId="9" borderId="15" xfId="0" applyNumberFormat="1" applyFont="1" applyFill="1" applyBorder="1" applyProtection="1">
      <protection locked="0"/>
    </xf>
    <xf numFmtId="166" fontId="39" fillId="9" borderId="37" xfId="0" applyNumberFormat="1" applyFont="1" applyFill="1" applyBorder="1" applyProtection="1">
      <protection locked="0"/>
    </xf>
    <xf numFmtId="17" fontId="6" fillId="9" borderId="15" xfId="0" applyNumberFormat="1" applyFont="1" applyFill="1" applyBorder="1" applyProtection="1">
      <protection locked="0"/>
    </xf>
    <xf numFmtId="10" fontId="5" fillId="9" borderId="15" xfId="0" applyNumberFormat="1" applyFont="1" applyFill="1" applyBorder="1" applyAlignment="1" applyProtection="1">
      <alignment horizontal="center"/>
      <protection locked="0"/>
    </xf>
    <xf numFmtId="167" fontId="5" fillId="9" borderId="15" xfId="0" applyNumberFormat="1" applyFont="1" applyFill="1" applyBorder="1" applyAlignment="1" applyProtection="1">
      <alignment horizontal="center"/>
      <protection locked="0"/>
    </xf>
    <xf numFmtId="10" fontId="5" fillId="9" borderId="15" xfId="0" applyNumberFormat="1" applyFont="1" applyFill="1" applyBorder="1" applyProtection="1">
      <protection locked="0"/>
    </xf>
    <xf numFmtId="3" fontId="0" fillId="9" borderId="15" xfId="0" applyNumberFormat="1" applyFill="1" applyBorder="1" applyAlignment="1" applyProtection="1">
      <alignment horizontal="right"/>
      <protection locked="0"/>
    </xf>
    <xf numFmtId="3" fontId="0" fillId="9" borderId="23" xfId="0" applyNumberFormat="1" applyFill="1" applyBorder="1" applyAlignment="1" applyProtection="1">
      <alignment horizontal="right"/>
      <protection locked="0"/>
    </xf>
    <xf numFmtId="10" fontId="5" fillId="2" borderId="15" xfId="0" applyNumberFormat="1" applyFont="1" applyFill="1" applyBorder="1" applyAlignment="1" applyProtection="1">
      <alignment horizontal="center"/>
      <protection locked="0"/>
    </xf>
    <xf numFmtId="10" fontId="6" fillId="9" borderId="15" xfId="0" applyNumberFormat="1" applyFont="1" applyFill="1" applyBorder="1" applyProtection="1">
      <protection locked="0"/>
    </xf>
    <xf numFmtId="0" fontId="25" fillId="9" borderId="4" xfId="0" applyFont="1" applyFill="1" applyBorder="1" applyAlignment="1" applyProtection="1">
      <alignment vertical="top"/>
      <protection locked="0"/>
    </xf>
    <xf numFmtId="0" fontId="25" fillId="9" borderId="5" xfId="0" applyFont="1" applyFill="1" applyBorder="1" applyAlignment="1" applyProtection="1">
      <alignment vertical="top" wrapText="1"/>
      <protection locked="0"/>
    </xf>
    <xf numFmtId="0" fontId="25" fillId="9" borderId="6" xfId="0" applyFont="1" applyFill="1" applyBorder="1" applyAlignment="1" applyProtection="1">
      <alignment vertical="top" wrapText="1"/>
      <protection locked="0"/>
    </xf>
    <xf numFmtId="0" fontId="25" fillId="9" borderId="7" xfId="0" applyFont="1" applyFill="1" applyBorder="1" applyAlignment="1" applyProtection="1">
      <alignment vertical="top" wrapText="1"/>
      <protection locked="0"/>
    </xf>
    <xf numFmtId="0" fontId="25" fillId="9" borderId="0" xfId="0" applyFont="1" applyFill="1" applyAlignment="1" applyProtection="1">
      <alignment vertical="top" wrapText="1"/>
      <protection locked="0"/>
    </xf>
    <xf numFmtId="0" fontId="25" fillId="9" borderId="8" xfId="0" applyFont="1" applyFill="1" applyBorder="1" applyAlignment="1" applyProtection="1">
      <alignment vertical="top" wrapText="1"/>
      <protection locked="0"/>
    </xf>
    <xf numFmtId="0" fontId="25" fillId="9" borderId="9" xfId="0" applyFont="1" applyFill="1" applyBorder="1" applyAlignment="1" applyProtection="1">
      <alignment vertical="top" wrapText="1"/>
      <protection locked="0"/>
    </xf>
    <xf numFmtId="0" fontId="25" fillId="9" borderId="1" xfId="0" applyFont="1" applyFill="1" applyBorder="1" applyAlignment="1" applyProtection="1">
      <alignment vertical="top" wrapText="1"/>
      <protection locked="0"/>
    </xf>
    <xf numFmtId="0" fontId="25" fillId="9" borderId="10" xfId="0" applyFont="1" applyFill="1" applyBorder="1" applyAlignment="1" applyProtection="1">
      <alignment vertical="top" wrapText="1"/>
      <protection locked="0"/>
    </xf>
    <xf numFmtId="0" fontId="25" fillId="9" borderId="5" xfId="0" applyFont="1" applyFill="1" applyBorder="1" applyAlignment="1" applyProtection="1">
      <alignment vertical="top"/>
      <protection locked="0"/>
    </xf>
    <xf numFmtId="0" fontId="25" fillId="9" borderId="6" xfId="0" applyFont="1" applyFill="1" applyBorder="1" applyAlignment="1" applyProtection="1">
      <alignment vertical="top"/>
      <protection locked="0"/>
    </xf>
    <xf numFmtId="0" fontId="25" fillId="9" borderId="7" xfId="0" applyFont="1" applyFill="1" applyBorder="1" applyAlignment="1" applyProtection="1">
      <alignment vertical="top"/>
      <protection locked="0"/>
    </xf>
    <xf numFmtId="0" fontId="25" fillId="9" borderId="0" xfId="0" applyFont="1" applyFill="1" applyAlignment="1" applyProtection="1">
      <alignment vertical="top"/>
      <protection locked="0"/>
    </xf>
    <xf numFmtId="0" fontId="25" fillId="9" borderId="8" xfId="0" applyFont="1" applyFill="1" applyBorder="1" applyAlignment="1" applyProtection="1">
      <alignment vertical="top"/>
      <protection locked="0"/>
    </xf>
    <xf numFmtId="0" fontId="25" fillId="9" borderId="9" xfId="0" applyFont="1" applyFill="1" applyBorder="1" applyAlignment="1" applyProtection="1">
      <alignment vertical="top"/>
      <protection locked="0"/>
    </xf>
    <xf numFmtId="0" fontId="25" fillId="9" borderId="1" xfId="0" applyFont="1" applyFill="1" applyBorder="1" applyAlignment="1" applyProtection="1">
      <alignment vertical="top"/>
      <protection locked="0"/>
    </xf>
    <xf numFmtId="0" fontId="25" fillId="9" borderId="10" xfId="0" applyFont="1" applyFill="1" applyBorder="1" applyAlignment="1" applyProtection="1">
      <alignment vertical="top"/>
      <protection locked="0"/>
    </xf>
    <xf numFmtId="0" fontId="5" fillId="2" borderId="0" xfId="0" applyFont="1" applyFill="1" applyAlignment="1">
      <alignment horizontal="left" vertical="top" wrapText="1"/>
    </xf>
    <xf numFmtId="0" fontId="0" fillId="2" borderId="4" xfId="0" applyFill="1" applyBorder="1" applyAlignment="1">
      <alignment horizontal="left" vertical="top"/>
    </xf>
    <xf numFmtId="0" fontId="0" fillId="2" borderId="5" xfId="0" applyFill="1" applyBorder="1" applyAlignment="1">
      <alignment horizontal="left" vertical="top"/>
    </xf>
    <xf numFmtId="0" fontId="0" fillId="2" borderId="6" xfId="0" applyFill="1" applyBorder="1" applyAlignment="1">
      <alignment horizontal="left" vertical="top"/>
    </xf>
    <xf numFmtId="0" fontId="0" fillId="2" borderId="7" xfId="0" applyFill="1" applyBorder="1" applyAlignment="1">
      <alignment horizontal="left" vertical="top"/>
    </xf>
    <xf numFmtId="0" fontId="0" fillId="2" borderId="0" xfId="0" applyFill="1" applyAlignment="1">
      <alignment horizontal="left" vertical="top"/>
    </xf>
    <xf numFmtId="0" fontId="0" fillId="2" borderId="8" xfId="0" applyFill="1" applyBorder="1" applyAlignment="1">
      <alignment horizontal="left" vertical="top"/>
    </xf>
    <xf numFmtId="0" fontId="0" fillId="2" borderId="9" xfId="0" applyFill="1" applyBorder="1" applyAlignment="1">
      <alignment horizontal="left" vertical="top"/>
    </xf>
    <xf numFmtId="0" fontId="0" fillId="2" borderId="1" xfId="0" applyFill="1" applyBorder="1" applyAlignment="1">
      <alignment horizontal="left" vertical="top"/>
    </xf>
    <xf numFmtId="0" fontId="0" fillId="2" borderId="10" xfId="0" applyFill="1" applyBorder="1" applyAlignment="1">
      <alignment horizontal="left" vertical="top"/>
    </xf>
    <xf numFmtId="0" fontId="0" fillId="2" borderId="11" xfId="0" applyFill="1" applyBorder="1" applyAlignment="1">
      <alignment horizontal="left"/>
    </xf>
    <xf numFmtId="0" fontId="0" fillId="2" borderId="12" xfId="0" applyFill="1" applyBorder="1" applyAlignment="1">
      <alignment horizontal="left"/>
    </xf>
    <xf numFmtId="0" fontId="0" fillId="2" borderId="13" xfId="0" applyFill="1" applyBorder="1" applyAlignment="1">
      <alignment horizontal="left"/>
    </xf>
    <xf numFmtId="0" fontId="5" fillId="2" borderId="11" xfId="0" applyFont="1" applyFill="1" applyBorder="1" applyAlignment="1">
      <alignment horizontal="center"/>
    </xf>
    <xf numFmtId="0" fontId="5" fillId="2" borderId="12" xfId="0" applyFont="1" applyFill="1" applyBorder="1" applyAlignment="1">
      <alignment horizontal="center"/>
    </xf>
    <xf numFmtId="0" fontId="5" fillId="2" borderId="13" xfId="0" applyFont="1" applyFill="1" applyBorder="1" applyAlignment="1">
      <alignment horizontal="center"/>
    </xf>
    <xf numFmtId="0" fontId="25" fillId="0" borderId="24" xfId="0" applyFont="1" applyBorder="1" applyAlignment="1">
      <alignment horizontal="left" vertical="top"/>
    </xf>
    <xf numFmtId="0" fontId="25" fillId="0" borderId="19" xfId="0" applyFont="1" applyBorder="1" applyAlignment="1">
      <alignment horizontal="left" vertical="top"/>
    </xf>
    <xf numFmtId="0" fontId="25" fillId="0" borderId="18" xfId="0" applyFont="1" applyBorder="1" applyAlignment="1">
      <alignment horizontal="left" vertical="top"/>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xf numFmtId="0" fontId="2" fillId="2" borderId="11" xfId="0" applyFont="1" applyFill="1" applyBorder="1" applyAlignment="1">
      <alignment horizontal="center" wrapText="1"/>
    </xf>
    <xf numFmtId="0" fontId="2" fillId="2" borderId="13" xfId="0" applyFont="1" applyFill="1" applyBorder="1" applyAlignment="1">
      <alignment horizontal="center" wrapText="1"/>
    </xf>
    <xf numFmtId="0" fontId="16" fillId="2" borderId="0" xfId="0" applyFont="1" applyFill="1" applyAlignment="1">
      <alignment horizontal="center"/>
    </xf>
    <xf numFmtId="0" fontId="16" fillId="2" borderId="0" xfId="0" applyFont="1" applyFill="1" applyAlignment="1">
      <alignment horizontal="right" vertical="center" textRotation="90" wrapText="1"/>
    </xf>
    <xf numFmtId="0" fontId="2" fillId="3" borderId="90" xfId="0" applyFont="1" applyFill="1" applyBorder="1" applyAlignment="1">
      <alignment horizontal="center"/>
    </xf>
    <xf numFmtId="0" fontId="2" fillId="3" borderId="51" xfId="0" applyFont="1" applyFill="1" applyBorder="1" applyAlignment="1">
      <alignment horizontal="center"/>
    </xf>
    <xf numFmtId="0" fontId="5" fillId="2" borderId="0" xfId="0" applyFont="1" applyFill="1" applyAlignment="1">
      <alignment horizontal="left" wrapText="1"/>
    </xf>
    <xf numFmtId="0" fontId="5" fillId="9" borderId="0" xfId="0" applyFont="1" applyFill="1" applyAlignment="1" applyProtection="1">
      <alignment horizontal="left" vertical="top" wrapText="1"/>
      <protection locked="0"/>
    </xf>
    <xf numFmtId="0" fontId="5" fillId="9" borderId="1" xfId="0" applyFont="1" applyFill="1" applyBorder="1" applyAlignment="1" applyProtection="1">
      <alignment horizontal="left" vertical="top" wrapText="1"/>
      <protection locked="0"/>
    </xf>
    <xf numFmtId="0" fontId="0" fillId="2" borderId="1" xfId="0" applyFill="1" applyBorder="1" applyAlignment="1">
      <alignment horizontal="left"/>
    </xf>
    <xf numFmtId="14" fontId="0" fillId="2" borderId="1" xfId="0" applyNumberFormat="1" applyFill="1" applyBorder="1" applyAlignment="1">
      <alignment horizontal="left"/>
    </xf>
    <xf numFmtId="0" fontId="6" fillId="2" borderId="9" xfId="0" applyFont="1" applyFill="1" applyBorder="1" applyAlignment="1">
      <alignment horizontal="center"/>
    </xf>
    <xf numFmtId="0" fontId="6" fillId="2" borderId="1" xfId="0" applyFont="1" applyFill="1" applyBorder="1" applyAlignment="1">
      <alignment horizontal="center"/>
    </xf>
    <xf numFmtId="0" fontId="6" fillId="3" borderId="27" xfId="0" applyFont="1" applyFill="1" applyBorder="1" applyAlignment="1">
      <alignment horizontal="center"/>
    </xf>
    <xf numFmtId="0" fontId="6" fillId="3" borderId="32" xfId="0" applyFont="1" applyFill="1" applyBorder="1" applyAlignment="1">
      <alignment horizontal="center"/>
    </xf>
    <xf numFmtId="0" fontId="32" fillId="3" borderId="27" xfId="0" applyFont="1" applyFill="1" applyBorder="1" applyAlignment="1">
      <alignment horizontal="center"/>
    </xf>
    <xf numFmtId="0" fontId="32" fillId="3" borderId="32" xfId="0" applyFont="1" applyFill="1" applyBorder="1" applyAlignment="1">
      <alignment horizontal="center"/>
    </xf>
    <xf numFmtId="0" fontId="39" fillId="2" borderId="35" xfId="0" applyFont="1" applyFill="1" applyBorder="1" applyAlignment="1">
      <alignment horizontal="left" indent="4"/>
    </xf>
    <xf numFmtId="0" fontId="39" fillId="2" borderId="0" xfId="0" applyFont="1" applyFill="1" applyAlignment="1">
      <alignment horizontal="left" indent="4"/>
    </xf>
    <xf numFmtId="0" fontId="39" fillId="2" borderId="8" xfId="0" applyFont="1" applyFill="1" applyBorder="1" applyAlignment="1">
      <alignment horizontal="left" indent="4"/>
    </xf>
    <xf numFmtId="0" fontId="6" fillId="2" borderId="31"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43" xfId="0" applyFont="1" applyFill="1" applyBorder="1" applyAlignment="1">
      <alignment horizontal="center" vertical="center" wrapText="1"/>
    </xf>
    <xf numFmtId="3" fontId="2" fillId="2" borderId="87" xfId="0" applyNumberFormat="1" applyFont="1" applyFill="1" applyBorder="1" applyAlignment="1">
      <alignment horizontal="right"/>
    </xf>
    <xf numFmtId="3" fontId="2" fillId="2" borderId="75" xfId="0" applyNumberFormat="1" applyFont="1" applyFill="1" applyBorder="1" applyAlignment="1">
      <alignment horizontal="right"/>
    </xf>
    <xf numFmtId="3" fontId="2" fillId="2" borderId="45" xfId="0" applyNumberFormat="1" applyFont="1" applyFill="1" applyBorder="1" applyAlignment="1">
      <alignment horizontal="right"/>
    </xf>
    <xf numFmtId="3" fontId="2" fillId="2" borderId="61" xfId="0" applyNumberFormat="1" applyFont="1" applyFill="1" applyBorder="1" applyAlignment="1">
      <alignment horizontal="right"/>
    </xf>
    <xf numFmtId="0" fontId="37" fillId="3" borderId="27" xfId="0" applyFont="1" applyFill="1" applyBorder="1" applyAlignment="1">
      <alignment horizontal="center"/>
    </xf>
    <xf numFmtId="0" fontId="37" fillId="3" borderId="28" xfId="0" applyFont="1" applyFill="1" applyBorder="1" applyAlignment="1">
      <alignment horizontal="center"/>
    </xf>
    <xf numFmtId="0" fontId="37" fillId="3" borderId="32" xfId="0" applyFont="1" applyFill="1" applyBorder="1" applyAlignment="1">
      <alignment horizontal="center"/>
    </xf>
    <xf numFmtId="0" fontId="38" fillId="3" borderId="33" xfId="0" applyFont="1" applyFill="1" applyBorder="1" applyAlignment="1">
      <alignment horizontal="center"/>
    </xf>
    <xf numFmtId="0" fontId="38" fillId="3" borderId="1" xfId="0" applyFont="1" applyFill="1" applyBorder="1" applyAlignment="1">
      <alignment horizontal="center"/>
    </xf>
    <xf numFmtId="0" fontId="38" fillId="3" borderId="34" xfId="0" applyFont="1" applyFill="1" applyBorder="1" applyAlignment="1">
      <alignment horizontal="center"/>
    </xf>
    <xf numFmtId="3" fontId="0" fillId="9" borderId="54" xfId="0" applyNumberFormat="1" applyFill="1" applyBorder="1" applyAlignment="1" applyProtection="1">
      <alignment horizontal="right"/>
      <protection locked="0"/>
    </xf>
    <xf numFmtId="3" fontId="0" fillId="9" borderId="13" xfId="0" applyNumberFormat="1" applyFill="1" applyBorder="1" applyAlignment="1" applyProtection="1">
      <alignment horizontal="right"/>
      <protection locked="0"/>
    </xf>
    <xf numFmtId="3" fontId="0" fillId="9" borderId="86" xfId="0" applyNumberFormat="1" applyFill="1" applyBorder="1" applyAlignment="1" applyProtection="1">
      <alignment horizontal="right"/>
      <protection locked="0"/>
    </xf>
    <xf numFmtId="3" fontId="0" fillId="9" borderId="26" xfId="0" applyNumberFormat="1" applyFill="1" applyBorder="1" applyAlignment="1" applyProtection="1">
      <alignment horizontal="right"/>
      <protection locked="0"/>
    </xf>
    <xf numFmtId="0" fontId="6" fillId="2" borderId="59" xfId="0" applyFont="1" applyFill="1" applyBorder="1" applyAlignment="1">
      <alignment horizontal="center"/>
    </xf>
    <xf numFmtId="0" fontId="6" fillId="2" borderId="60" xfId="0" applyFont="1" applyFill="1" applyBorder="1" applyAlignment="1">
      <alignment horizontal="center"/>
    </xf>
    <xf numFmtId="3" fontId="0" fillId="2" borderId="54" xfId="0" applyNumberFormat="1" applyFill="1" applyBorder="1" applyAlignment="1">
      <alignment horizontal="right"/>
    </xf>
    <xf numFmtId="3" fontId="0" fillId="2" borderId="13" xfId="0" applyNumberFormat="1" applyFill="1" applyBorder="1" applyAlignment="1">
      <alignment horizontal="right"/>
    </xf>
    <xf numFmtId="3" fontId="0" fillId="2" borderId="86" xfId="0" applyNumberFormat="1" applyFill="1" applyBorder="1" applyAlignment="1">
      <alignment horizontal="right"/>
    </xf>
    <xf numFmtId="3" fontId="0" fillId="2" borderId="26" xfId="0" applyNumberFormat="1" applyFill="1" applyBorder="1" applyAlignment="1">
      <alignment horizontal="right"/>
    </xf>
    <xf numFmtId="3" fontId="2" fillId="2" borderId="39" xfId="0" applyNumberFormat="1" applyFont="1" applyFill="1" applyBorder="1" applyAlignment="1">
      <alignment horizontal="right"/>
    </xf>
    <xf numFmtId="3" fontId="2" fillId="2" borderId="62" xfId="0" applyNumberFormat="1" applyFont="1" applyFill="1" applyBorder="1" applyAlignment="1">
      <alignment horizontal="right"/>
    </xf>
    <xf numFmtId="3" fontId="0" fillId="2" borderId="12" xfId="0" applyNumberFormat="1" applyFill="1" applyBorder="1" applyAlignment="1">
      <alignment horizontal="right"/>
    </xf>
    <xf numFmtId="3" fontId="0" fillId="2" borderId="84" xfId="0" applyNumberFormat="1" applyFill="1" applyBorder="1" applyAlignment="1">
      <alignment horizontal="right"/>
    </xf>
    <xf numFmtId="3" fontId="0" fillId="2" borderId="1" xfId="0" applyNumberFormat="1" applyFill="1" applyBorder="1" applyAlignment="1">
      <alignment horizontal="right"/>
    </xf>
    <xf numFmtId="3" fontId="0" fillId="2" borderId="10" xfId="0" applyNumberFormat="1" applyFill="1" applyBorder="1" applyAlignment="1">
      <alignment horizontal="right"/>
    </xf>
    <xf numFmtId="3" fontId="0" fillId="2" borderId="85" xfId="0" applyNumberFormat="1" applyFill="1" applyBorder="1" applyAlignment="1">
      <alignment horizontal="right"/>
    </xf>
    <xf numFmtId="3" fontId="0" fillId="2" borderId="72" xfId="0" applyNumberFormat="1" applyFill="1" applyBorder="1" applyAlignment="1">
      <alignment horizontal="right"/>
    </xf>
    <xf numFmtId="3" fontId="0" fillId="9" borderId="85" xfId="0" applyNumberFormat="1" applyFill="1" applyBorder="1" applyAlignment="1" applyProtection="1">
      <alignment horizontal="right"/>
      <protection locked="0"/>
    </xf>
    <xf numFmtId="3" fontId="0" fillId="9" borderId="72" xfId="0" applyNumberFormat="1" applyFill="1" applyBorder="1" applyAlignment="1" applyProtection="1">
      <alignment horizontal="right"/>
      <protection locked="0"/>
    </xf>
    <xf numFmtId="0" fontId="6" fillId="2" borderId="15"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63"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 fillId="2" borderId="59" xfId="0" applyFont="1" applyFill="1" applyBorder="1" applyAlignment="1">
      <alignment horizontal="center"/>
    </xf>
    <xf numFmtId="0" fontId="37" fillId="3" borderId="0" xfId="0" applyFont="1" applyFill="1" applyAlignment="1">
      <alignment horizontal="center"/>
    </xf>
    <xf numFmtId="0" fontId="6" fillId="2" borderId="58" xfId="0" applyFont="1" applyFill="1" applyBorder="1" applyAlignment="1">
      <alignment horizontal="center"/>
    </xf>
    <xf numFmtId="0" fontId="13" fillId="2" borderId="27" xfId="0" applyFont="1" applyFill="1" applyBorder="1" applyAlignment="1">
      <alignment horizontal="center"/>
    </xf>
    <xf numFmtId="0" fontId="13" fillId="2" borderId="28" xfId="0" applyFont="1" applyFill="1" applyBorder="1" applyAlignment="1">
      <alignment horizontal="center"/>
    </xf>
    <xf numFmtId="0" fontId="13" fillId="2" borderId="32" xfId="0" applyFont="1" applyFill="1" applyBorder="1" applyAlignment="1">
      <alignment horizontal="center"/>
    </xf>
    <xf numFmtId="0" fontId="13" fillId="2" borderId="33" xfId="0" applyFont="1" applyFill="1" applyBorder="1" applyAlignment="1">
      <alignment horizontal="center"/>
    </xf>
    <xf numFmtId="0" fontId="13" fillId="2" borderId="1" xfId="0" applyFont="1" applyFill="1" applyBorder="1" applyAlignment="1">
      <alignment horizontal="center"/>
    </xf>
    <xf numFmtId="0" fontId="13" fillId="2" borderId="34" xfId="0" applyFont="1" applyFill="1" applyBorder="1" applyAlignment="1">
      <alignment horizontal="center"/>
    </xf>
    <xf numFmtId="0" fontId="2" fillId="2" borderId="27" xfId="0" applyFont="1" applyFill="1" applyBorder="1" applyAlignment="1">
      <alignment horizontal="center"/>
    </xf>
    <xf numFmtId="0" fontId="2" fillId="2" borderId="28" xfId="0" applyFont="1" applyFill="1" applyBorder="1" applyAlignment="1">
      <alignment horizontal="center"/>
    </xf>
    <xf numFmtId="0" fontId="2" fillId="2" borderId="32" xfId="0" applyFont="1" applyFill="1" applyBorder="1" applyAlignment="1">
      <alignment horizontal="center"/>
    </xf>
    <xf numFmtId="0" fontId="2" fillId="2" borderId="33" xfId="0" applyFont="1" applyFill="1" applyBorder="1" applyAlignment="1">
      <alignment horizontal="center"/>
    </xf>
    <xf numFmtId="0" fontId="2" fillId="2" borderId="1" xfId="0" applyFont="1" applyFill="1" applyBorder="1" applyAlignment="1">
      <alignment horizontal="center"/>
    </xf>
    <xf numFmtId="0" fontId="2" fillId="2" borderId="34" xfId="0" applyFont="1" applyFill="1" applyBorder="1" applyAlignment="1">
      <alignment horizontal="center"/>
    </xf>
    <xf numFmtId="0" fontId="6" fillId="3" borderId="6"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32" fillId="3" borderId="30" xfId="0" applyFont="1" applyFill="1" applyBorder="1" applyAlignment="1">
      <alignment horizontal="center"/>
    </xf>
    <xf numFmtId="0" fontId="32" fillId="3" borderId="29" xfId="0" applyFont="1" applyFill="1" applyBorder="1" applyAlignment="1">
      <alignment horizontal="center"/>
    </xf>
    <xf numFmtId="0" fontId="6" fillId="3" borderId="30" xfId="0" applyFont="1" applyFill="1" applyBorder="1" applyAlignment="1">
      <alignment horizontal="center"/>
    </xf>
    <xf numFmtId="0" fontId="6" fillId="3" borderId="29" xfId="0" applyFont="1" applyFill="1" applyBorder="1" applyAlignment="1">
      <alignment horizontal="center"/>
    </xf>
    <xf numFmtId="0" fontId="6" fillId="3" borderId="28" xfId="0" applyFont="1" applyFill="1" applyBorder="1" applyAlignment="1">
      <alignment horizontal="center"/>
    </xf>
    <xf numFmtId="0" fontId="38" fillId="3" borderId="7" xfId="0" applyFont="1" applyFill="1" applyBorder="1" applyAlignment="1">
      <alignment horizontal="center"/>
    </xf>
    <xf numFmtId="0" fontId="38" fillId="3" borderId="8"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35" fillId="3" borderId="0" xfId="0" applyFont="1" applyFill="1" applyAlignment="1">
      <alignment horizontal="center"/>
    </xf>
    <xf numFmtId="0" fontId="35" fillId="3" borderId="36" xfId="0" applyFont="1" applyFill="1" applyBorder="1" applyAlignment="1">
      <alignment horizontal="center"/>
    </xf>
    <xf numFmtId="0" fontId="2" fillId="2" borderId="9" xfId="0" applyFont="1" applyFill="1" applyBorder="1" applyAlignment="1">
      <alignment horizontal="center"/>
    </xf>
    <xf numFmtId="0" fontId="0" fillId="2" borderId="18" xfId="0" applyFill="1" applyBorder="1" applyAlignment="1">
      <alignment horizontal="left" vertical="center" wrapText="1"/>
    </xf>
    <xf numFmtId="0" fontId="0" fillId="2" borderId="15" xfId="0" applyFill="1" applyBorder="1" applyAlignment="1">
      <alignment horizontal="left" vertical="center" wrapText="1"/>
    </xf>
    <xf numFmtId="0" fontId="30" fillId="3" borderId="24" xfId="0" applyFont="1" applyFill="1" applyBorder="1" applyAlignment="1">
      <alignment horizontal="center" wrapText="1"/>
    </xf>
    <xf numFmtId="0" fontId="30" fillId="3" borderId="19" xfId="0" applyFont="1" applyFill="1" applyBorder="1" applyAlignment="1">
      <alignment horizontal="center" wrapText="1"/>
    </xf>
    <xf numFmtId="0" fontId="30" fillId="3" borderId="18" xfId="0" applyFont="1" applyFill="1" applyBorder="1" applyAlignment="1">
      <alignment horizontal="center" wrapText="1"/>
    </xf>
    <xf numFmtId="0" fontId="25" fillId="2" borderId="18" xfId="0" applyFont="1" applyFill="1" applyBorder="1" applyAlignment="1">
      <alignment horizontal="center" vertical="center" wrapText="1"/>
    </xf>
    <xf numFmtId="0" fontId="25" fillId="2" borderId="15" xfId="0" applyFont="1" applyFill="1" applyBorder="1" applyAlignment="1">
      <alignment horizontal="center" vertical="center"/>
    </xf>
    <xf numFmtId="0" fontId="25" fillId="2" borderId="50" xfId="0" applyFont="1" applyFill="1" applyBorder="1" applyAlignment="1">
      <alignment horizontal="center" vertical="center"/>
    </xf>
    <xf numFmtId="0" fontId="25" fillId="2" borderId="52" xfId="0" applyFont="1" applyFill="1" applyBorder="1" applyAlignment="1">
      <alignment horizontal="center" vertical="center"/>
    </xf>
    <xf numFmtId="0" fontId="25" fillId="2" borderId="18" xfId="0" applyFont="1" applyFill="1" applyBorder="1" applyAlignment="1">
      <alignment horizontal="center" vertical="center"/>
    </xf>
    <xf numFmtId="0" fontId="25" fillId="2" borderId="51" xfId="0" applyFont="1" applyFill="1" applyBorder="1" applyAlignment="1">
      <alignment horizontal="center" vertical="center"/>
    </xf>
    <xf numFmtId="0" fontId="25" fillId="2" borderId="37" xfId="0" applyFont="1" applyFill="1" applyBorder="1" applyAlignment="1">
      <alignment horizontal="center" vertical="center"/>
    </xf>
    <xf numFmtId="0" fontId="2" fillId="2" borderId="15" xfId="0" applyFont="1" applyFill="1" applyBorder="1" applyAlignment="1">
      <alignment horizontal="center"/>
    </xf>
    <xf numFmtId="0" fontId="25" fillId="2" borderId="9" xfId="0" applyFont="1" applyFill="1" applyBorder="1" applyAlignment="1">
      <alignment horizontal="center" vertical="center"/>
    </xf>
    <xf numFmtId="0" fontId="25" fillId="2" borderId="11" xfId="0" applyFont="1" applyFill="1" applyBorder="1" applyAlignment="1">
      <alignment horizontal="center" vertical="center"/>
    </xf>
    <xf numFmtId="0" fontId="25" fillId="2" borderId="50" xfId="0" applyFont="1" applyFill="1" applyBorder="1" applyAlignment="1">
      <alignment horizontal="center" vertical="center" wrapText="1"/>
    </xf>
    <xf numFmtId="0" fontId="30" fillId="9" borderId="11" xfId="0" applyFont="1" applyFill="1" applyBorder="1" applyAlignment="1">
      <alignment horizontal="left"/>
    </xf>
    <xf numFmtId="0" fontId="30" fillId="9" borderId="12" xfId="0" applyFont="1" applyFill="1" applyBorder="1" applyAlignment="1">
      <alignment horizontal="left"/>
    </xf>
    <xf numFmtId="0" fontId="30" fillId="9" borderId="13" xfId="0" applyFont="1" applyFill="1" applyBorder="1" applyAlignment="1">
      <alignment horizontal="left"/>
    </xf>
    <xf numFmtId="0" fontId="25" fillId="3" borderId="15" xfId="0" applyFont="1" applyFill="1" applyBorder="1" applyAlignment="1">
      <alignment horizontal="center" wrapText="1"/>
    </xf>
    <xf numFmtId="0" fontId="30" fillId="3" borderId="4" xfId="0" applyFont="1" applyFill="1" applyBorder="1" applyAlignment="1">
      <alignment horizontal="right"/>
    </xf>
    <xf numFmtId="0" fontId="30" fillId="3" borderId="5" xfId="0" applyFont="1" applyFill="1" applyBorder="1" applyAlignment="1">
      <alignment horizontal="right"/>
    </xf>
    <xf numFmtId="0" fontId="30" fillId="3" borderId="6" xfId="0" applyFont="1" applyFill="1" applyBorder="1" applyAlignment="1">
      <alignment horizontal="right"/>
    </xf>
    <xf numFmtId="0" fontId="30" fillId="3" borderId="9" xfId="0" applyFont="1" applyFill="1" applyBorder="1" applyAlignment="1">
      <alignment horizontal="right"/>
    </xf>
    <xf numFmtId="0" fontId="30" fillId="3" borderId="1" xfId="0" applyFont="1" applyFill="1" applyBorder="1" applyAlignment="1">
      <alignment horizontal="right"/>
    </xf>
    <xf numFmtId="0" fontId="30" fillId="3" borderId="10" xfId="0" applyFont="1" applyFill="1" applyBorder="1" applyAlignment="1">
      <alignment horizontal="right"/>
    </xf>
    <xf numFmtId="166" fontId="30" fillId="2" borderId="11" xfId="0" applyNumberFormat="1" applyFont="1" applyFill="1" applyBorder="1" applyAlignment="1">
      <alignment horizontal="right"/>
    </xf>
    <xf numFmtId="166" fontId="30" fillId="2" borderId="13" xfId="0" applyNumberFormat="1" applyFont="1" applyFill="1" applyBorder="1" applyAlignment="1">
      <alignment horizontal="right"/>
    </xf>
    <xf numFmtId="166" fontId="25" fillId="2" borderId="11" xfId="0" applyNumberFormat="1" applyFont="1" applyFill="1" applyBorder="1" applyAlignment="1">
      <alignment horizontal="right"/>
    </xf>
    <xf numFmtId="166" fontId="25" fillId="2" borderId="13" xfId="0" applyNumberFormat="1" applyFont="1" applyFill="1" applyBorder="1" applyAlignment="1">
      <alignment horizontal="right"/>
    </xf>
    <xf numFmtId="0" fontId="48" fillId="3" borderId="15" xfId="0" applyFont="1" applyFill="1" applyBorder="1" applyAlignment="1">
      <alignment horizontal="center"/>
    </xf>
    <xf numFmtId="164" fontId="47" fillId="2" borderId="11" xfId="1" applyNumberFormat="1" applyFont="1" applyFill="1" applyBorder="1" applyAlignment="1">
      <alignment horizontal="right"/>
    </xf>
    <xf numFmtId="164" fontId="47" fillId="2" borderId="13" xfId="1" applyNumberFormat="1" applyFont="1" applyFill="1" applyBorder="1" applyAlignment="1">
      <alignment horizontal="right"/>
    </xf>
    <xf numFmtId="166" fontId="47" fillId="2" borderId="11" xfId="0" applyNumberFormat="1" applyFont="1" applyFill="1" applyBorder="1" applyAlignment="1">
      <alignment horizontal="right"/>
    </xf>
    <xf numFmtId="166" fontId="47" fillId="2" borderId="13" xfId="0" applyNumberFormat="1" applyFont="1" applyFill="1" applyBorder="1" applyAlignment="1">
      <alignment horizontal="right"/>
    </xf>
    <xf numFmtId="0" fontId="56" fillId="3" borderId="4" xfId="0" applyFont="1" applyFill="1" applyBorder="1" applyAlignment="1">
      <alignment horizontal="right"/>
    </xf>
    <xf numFmtId="0" fontId="56" fillId="3" borderId="6" xfId="0" applyFont="1" applyFill="1" applyBorder="1" applyAlignment="1">
      <alignment horizontal="right"/>
    </xf>
    <xf numFmtId="0" fontId="30" fillId="3" borderId="4" xfId="0" applyFont="1" applyFill="1" applyBorder="1" applyAlignment="1">
      <alignment horizontal="left" vertical="center"/>
    </xf>
    <xf numFmtId="0" fontId="30" fillId="3" borderId="5" xfId="0" applyFont="1" applyFill="1" applyBorder="1" applyAlignment="1">
      <alignment horizontal="left" vertical="center"/>
    </xf>
    <xf numFmtId="0" fontId="30" fillId="3" borderId="6" xfId="0" applyFont="1" applyFill="1" applyBorder="1" applyAlignment="1">
      <alignment horizontal="left" vertical="center"/>
    </xf>
    <xf numFmtId="0" fontId="30" fillId="3" borderId="9" xfId="0" applyFont="1" applyFill="1" applyBorder="1" applyAlignment="1">
      <alignment horizontal="left" vertical="center"/>
    </xf>
    <xf numFmtId="0" fontId="30" fillId="3" borderId="1" xfId="0" applyFont="1" applyFill="1" applyBorder="1" applyAlignment="1">
      <alignment horizontal="left" vertical="center"/>
    </xf>
    <xf numFmtId="0" fontId="30" fillId="3" borderId="10" xfId="0" applyFont="1" applyFill="1" applyBorder="1" applyAlignment="1">
      <alignment horizontal="left" vertical="center"/>
    </xf>
    <xf numFmtId="166" fontId="25" fillId="7" borderId="11" xfId="0" applyNumberFormat="1" applyFont="1" applyFill="1" applyBorder="1" applyAlignment="1">
      <alignment horizontal="right"/>
    </xf>
    <xf numFmtId="166" fontId="25" fillId="7" borderId="13" xfId="0" applyNumberFormat="1" applyFont="1" applyFill="1" applyBorder="1" applyAlignment="1">
      <alignment horizontal="right"/>
    </xf>
    <xf numFmtId="0" fontId="30" fillId="3" borderId="7" xfId="0" applyFont="1" applyFill="1" applyBorder="1" applyAlignment="1">
      <alignment horizontal="center"/>
    </xf>
    <xf numFmtId="0" fontId="30" fillId="3" borderId="8" xfId="0" applyFont="1" applyFill="1" applyBorder="1" applyAlignment="1">
      <alignment horizontal="center"/>
    </xf>
    <xf numFmtId="0" fontId="56" fillId="3" borderId="4" xfId="0" applyFont="1" applyFill="1" applyBorder="1" applyAlignment="1">
      <alignment horizontal="center"/>
    </xf>
    <xf numFmtId="0" fontId="56" fillId="3" borderId="6" xfId="0" applyFont="1" applyFill="1" applyBorder="1" applyAlignment="1">
      <alignment horizontal="center"/>
    </xf>
    <xf numFmtId="0" fontId="30" fillId="3" borderId="4" xfId="0" applyFont="1" applyFill="1" applyBorder="1" applyAlignment="1">
      <alignment horizontal="center"/>
    </xf>
    <xf numFmtId="0" fontId="30" fillId="3" borderId="6" xfId="0" applyFont="1" applyFill="1" applyBorder="1" applyAlignment="1">
      <alignment horizontal="center"/>
    </xf>
    <xf numFmtId="0" fontId="25" fillId="2" borderId="15" xfId="0" applyFont="1" applyFill="1" applyBorder="1" applyAlignment="1">
      <alignment horizontal="center"/>
    </xf>
    <xf numFmtId="167" fontId="25" fillId="2" borderId="15" xfId="0" applyNumberFormat="1" applyFont="1" applyFill="1" applyBorder="1" applyAlignment="1">
      <alignment horizontal="center"/>
    </xf>
  </cellXfs>
  <cellStyles count="3">
    <cellStyle name="Hyperlinkki" xfId="2" builtinId="8"/>
    <cellStyle name="Normaali" xfId="0" builtinId="0"/>
    <cellStyle name="Prosenttia" xfId="1" builtinId="5"/>
  </cellStyles>
  <dxfs count="4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DEF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i-FI" sz="1100" b="1"/>
              <a:t>Tulot - Menot ja Kumulatiivinen</a:t>
            </a:r>
            <a:r>
              <a:rPr lang="fi-FI" sz="1100" b="1" baseline="0"/>
              <a:t> kassa kuukauden lopussa</a:t>
            </a:r>
            <a:endParaRPr lang="fi-FI"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v>Tulot - Menot</c:v>
          </c:tx>
          <c:spPr>
            <a:solidFill>
              <a:schemeClr val="accent1">
                <a:lumMod val="20000"/>
                <a:lumOff val="80000"/>
              </a:schemeClr>
            </a:solidFill>
            <a:ln>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KASSABUDJETTI'!$G$102:$R$102</c:f>
              <c:numCache>
                <c:formatCode>mmm\-yy</c:formatCode>
                <c:ptCount val="12"/>
                <c:pt idx="0">
                  <c:v>46388</c:v>
                </c:pt>
                <c:pt idx="1">
                  <c:v>46419</c:v>
                </c:pt>
                <c:pt idx="2">
                  <c:v>46450</c:v>
                </c:pt>
                <c:pt idx="3">
                  <c:v>46481</c:v>
                </c:pt>
                <c:pt idx="4">
                  <c:v>46512</c:v>
                </c:pt>
                <c:pt idx="5">
                  <c:v>46543</c:v>
                </c:pt>
                <c:pt idx="6">
                  <c:v>46574</c:v>
                </c:pt>
                <c:pt idx="7">
                  <c:v>46605</c:v>
                </c:pt>
                <c:pt idx="8">
                  <c:v>46636</c:v>
                </c:pt>
                <c:pt idx="9">
                  <c:v>46667</c:v>
                </c:pt>
                <c:pt idx="10">
                  <c:v>46698</c:v>
                </c:pt>
                <c:pt idx="11">
                  <c:v>46729</c:v>
                </c:pt>
              </c:numCache>
            </c:numRef>
          </c:cat>
          <c:val>
            <c:numRef>
              <c:f>'9 KASSABUDJETTI'!$G$111:$R$111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DD0-44CD-8CBF-339D9BD5F9B7}"/>
            </c:ext>
          </c:extLst>
        </c:ser>
        <c:ser>
          <c:idx val="1"/>
          <c:order val="1"/>
          <c:tx>
            <c:v>Kumulatiivinen kassa kuukauden lopussa</c:v>
          </c:tx>
          <c:spPr>
            <a:solidFill>
              <a:schemeClr val="accent2">
                <a:lumMod val="60000"/>
                <a:lumOff val="40000"/>
              </a:schemeClr>
            </a:solidFill>
            <a:ln>
              <a:solidFill>
                <a:schemeClr val="accent2">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KASSABUDJETTI'!$G$102:$R$102</c:f>
              <c:numCache>
                <c:formatCode>mmm\-yy</c:formatCode>
                <c:ptCount val="12"/>
                <c:pt idx="0">
                  <c:v>46388</c:v>
                </c:pt>
                <c:pt idx="1">
                  <c:v>46419</c:v>
                </c:pt>
                <c:pt idx="2">
                  <c:v>46450</c:v>
                </c:pt>
                <c:pt idx="3">
                  <c:v>46481</c:v>
                </c:pt>
                <c:pt idx="4">
                  <c:v>46512</c:v>
                </c:pt>
                <c:pt idx="5">
                  <c:v>46543</c:v>
                </c:pt>
                <c:pt idx="6">
                  <c:v>46574</c:v>
                </c:pt>
                <c:pt idx="7">
                  <c:v>46605</c:v>
                </c:pt>
                <c:pt idx="8">
                  <c:v>46636</c:v>
                </c:pt>
                <c:pt idx="9">
                  <c:v>46667</c:v>
                </c:pt>
                <c:pt idx="10">
                  <c:v>46698</c:v>
                </c:pt>
                <c:pt idx="11">
                  <c:v>46729</c:v>
                </c:pt>
              </c:numCache>
            </c:numRef>
          </c:cat>
          <c:val>
            <c:numRef>
              <c:f>'9 KASSABUDJETTI'!$G$112:$R$112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40-43A4-821B-7259A18E0185}"/>
            </c:ext>
          </c:extLst>
        </c:ser>
        <c:dLbls>
          <c:showLegendKey val="0"/>
          <c:showVal val="0"/>
          <c:showCatName val="0"/>
          <c:showSerName val="0"/>
          <c:showPercent val="0"/>
          <c:showBubbleSize val="0"/>
        </c:dLbls>
        <c:gapWidth val="150"/>
        <c:axId val="1399831791"/>
        <c:axId val="1399823631"/>
      </c:barChart>
      <c:dateAx>
        <c:axId val="1399831791"/>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i-FI"/>
          </a:p>
        </c:txPr>
        <c:crossAx val="1399823631"/>
        <c:crosses val="autoZero"/>
        <c:auto val="1"/>
        <c:lblOffset val="100"/>
        <c:baseTimeUnit val="months"/>
      </c:dateAx>
      <c:valAx>
        <c:axId val="13998236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9983179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i-FI"/>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fi-FI" sz="1050"/>
              <a:t>Tase: vaihtuvat vastaavat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graafeihin'!$B$20</c:f>
              <c:strCache>
                <c:ptCount val="1"/>
                <c:pt idx="0">
                  <c:v>Vaihto-omaisuus</c:v>
                </c:pt>
              </c:strCache>
            </c:strRef>
          </c:tx>
          <c:spPr>
            <a:solidFill>
              <a:schemeClr val="accent2">
                <a:lumMod val="60000"/>
                <a:lumOff val="4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graafeihin'!$C$20:$H$20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1DC-42F9-B96B-DC7BF265F1BB}"/>
            </c:ext>
          </c:extLst>
        </c:ser>
        <c:ser>
          <c:idx val="1"/>
          <c:order val="1"/>
          <c:tx>
            <c:strRef>
              <c:f>'AT11 Data graafeihin'!$B$21</c:f>
              <c:strCache>
                <c:ptCount val="1"/>
                <c:pt idx="0">
                  <c:v>Saamiset</c:v>
                </c:pt>
              </c:strCache>
            </c:strRef>
          </c:tx>
          <c:spPr>
            <a:solidFill>
              <a:schemeClr val="bg1">
                <a:lumMod val="65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graafeihin'!$C$21:$H$21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1DC-42F9-B96B-DC7BF265F1BB}"/>
            </c:ext>
          </c:extLst>
        </c:ser>
        <c:ser>
          <c:idx val="2"/>
          <c:order val="2"/>
          <c:tx>
            <c:strRef>
              <c:f>'AT11 Data graafeihin'!$B$22</c:f>
              <c:strCache>
                <c:ptCount val="1"/>
                <c:pt idx="0">
                  <c:v>Rahoitusarvopaperit</c:v>
                </c:pt>
              </c:strCache>
            </c:strRef>
          </c:tx>
          <c:spPr>
            <a:solidFill>
              <a:schemeClr val="accent5">
                <a:lumMod val="40000"/>
                <a:lumOff val="6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graafeihin'!$C$22:$H$22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1DC-42F9-B96B-DC7BF265F1BB}"/>
            </c:ext>
          </c:extLst>
        </c:ser>
        <c:ser>
          <c:idx val="3"/>
          <c:order val="3"/>
          <c:tx>
            <c:strRef>
              <c:f>'AT11 Data graafeihin'!$B$23</c:f>
              <c:strCache>
                <c:ptCount val="1"/>
                <c:pt idx="0">
                  <c:v>Rahat ja pankkisaamiset</c:v>
                </c:pt>
              </c:strCache>
            </c:strRef>
          </c:tx>
          <c:spPr>
            <a:solidFill>
              <a:schemeClr val="accent1"/>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graafeihin'!$C$23:$H$23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B1DC-42F9-B96B-DC7BF265F1BB}"/>
            </c:ext>
          </c:extLst>
        </c:ser>
        <c:dLbls>
          <c:showLegendKey val="0"/>
          <c:showVal val="0"/>
          <c:showCatName val="0"/>
          <c:showSerName val="0"/>
          <c:showPercent val="0"/>
          <c:showBubbleSize val="0"/>
        </c:dLbls>
        <c:gapWidth val="150"/>
        <c:overlap val="100"/>
        <c:axId val="1520400512"/>
        <c:axId val="1520400992"/>
      </c:barChart>
      <c:catAx>
        <c:axId val="152040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20400992"/>
        <c:crosses val="autoZero"/>
        <c:auto val="1"/>
        <c:lblAlgn val="ctr"/>
        <c:lblOffset val="100"/>
        <c:noMultiLvlLbl val="0"/>
      </c:catAx>
      <c:valAx>
        <c:axId val="152040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2040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graafeihin'!$B$16</c:f>
              <c:strCache>
                <c:ptCount val="1"/>
                <c:pt idx="0">
                  <c:v>Taseen loppusumma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graafeihin'!$C$16:$H$16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E36-428D-88CB-78DB7B9D0C53}"/>
            </c:ext>
          </c:extLst>
        </c:ser>
        <c:dLbls>
          <c:showLegendKey val="0"/>
          <c:showVal val="0"/>
          <c:showCatName val="0"/>
          <c:showSerName val="0"/>
          <c:showPercent val="0"/>
          <c:showBubbleSize val="0"/>
        </c:dLbls>
        <c:gapWidth val="219"/>
        <c:overlap val="-27"/>
        <c:axId val="1398805520"/>
        <c:axId val="1398806480"/>
      </c:barChart>
      <c:catAx>
        <c:axId val="139880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98806480"/>
        <c:crosses val="autoZero"/>
        <c:auto val="1"/>
        <c:lblAlgn val="ctr"/>
        <c:lblOffset val="100"/>
        <c:noMultiLvlLbl val="0"/>
      </c:catAx>
      <c:valAx>
        <c:axId val="1398806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9880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fi-FI" sz="1050"/>
              <a:t>Tase:</a:t>
            </a:r>
            <a:r>
              <a:rPr lang="fi-FI" sz="1050" baseline="0"/>
              <a:t> vastattavaa</a:t>
            </a:r>
            <a:endParaRPr lang="fi-FI"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graafeihin'!$B$24</c:f>
              <c:strCache>
                <c:ptCount val="1"/>
                <c:pt idx="0">
                  <c:v>Oma pääoma</c:v>
                </c:pt>
              </c:strCache>
            </c:strRef>
          </c:tx>
          <c:spPr>
            <a:solidFill>
              <a:schemeClr val="accent2">
                <a:lumMod val="60000"/>
                <a:lumOff val="4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graafeihin'!$C$24:$H$24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C62-4175-8375-C667D13E2AFB}"/>
            </c:ext>
          </c:extLst>
        </c:ser>
        <c:ser>
          <c:idx val="1"/>
          <c:order val="1"/>
          <c:tx>
            <c:strRef>
              <c:f>'AT11 Data graafeihin'!$B$25</c:f>
              <c:strCache>
                <c:ptCount val="1"/>
                <c:pt idx="0">
                  <c:v>Tilinpäätössiirtojen kertymä</c:v>
                </c:pt>
              </c:strCache>
            </c:strRef>
          </c:tx>
          <c:spPr>
            <a:solidFill>
              <a:schemeClr val="bg1">
                <a:lumMod val="65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graafeihin'!$C$25:$H$25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C62-4175-8375-C667D13E2AFB}"/>
            </c:ext>
          </c:extLst>
        </c:ser>
        <c:ser>
          <c:idx val="2"/>
          <c:order val="2"/>
          <c:tx>
            <c:strRef>
              <c:f>'AT11 Data graafeihin'!$B$26</c:f>
              <c:strCache>
                <c:ptCount val="1"/>
                <c:pt idx="0">
                  <c:v>Pakolliset varaukset</c:v>
                </c:pt>
              </c:strCache>
            </c:strRef>
          </c:tx>
          <c:spPr>
            <a:solidFill>
              <a:schemeClr val="accent5">
                <a:lumMod val="40000"/>
                <a:lumOff val="6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graafeihin'!$C$26:$H$26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C62-4175-8375-C667D13E2AFB}"/>
            </c:ext>
          </c:extLst>
        </c:ser>
        <c:ser>
          <c:idx val="3"/>
          <c:order val="3"/>
          <c:tx>
            <c:strRef>
              <c:f>'AT11 Data graafeihin'!$B$27</c:f>
              <c:strCache>
                <c:ptCount val="1"/>
                <c:pt idx="0">
                  <c:v>Pitkäaikainen vieras pääoma</c:v>
                </c:pt>
              </c:strCache>
            </c:strRef>
          </c:tx>
          <c:spPr>
            <a:solidFill>
              <a:schemeClr val="accent1"/>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graafeihin'!$C$27:$H$27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C62-4175-8375-C667D13E2AFB}"/>
            </c:ext>
          </c:extLst>
        </c:ser>
        <c:ser>
          <c:idx val="4"/>
          <c:order val="4"/>
          <c:tx>
            <c:strRef>
              <c:f>'AT11 Data graafeihin'!$B$28</c:f>
              <c:strCache>
                <c:ptCount val="1"/>
                <c:pt idx="0">
                  <c:v>Lyhytaikainen vieras pääoma</c:v>
                </c:pt>
              </c:strCache>
            </c:strRef>
          </c:tx>
          <c:spPr>
            <a:solidFill>
              <a:schemeClr val="accent6">
                <a:lumMod val="40000"/>
                <a:lumOff val="6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graafeihin'!$C$28:$H$28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3C62-4175-8375-C667D13E2AFB}"/>
            </c:ext>
          </c:extLst>
        </c:ser>
        <c:dLbls>
          <c:showLegendKey val="0"/>
          <c:showVal val="0"/>
          <c:showCatName val="0"/>
          <c:showSerName val="0"/>
          <c:showPercent val="0"/>
          <c:showBubbleSize val="0"/>
        </c:dLbls>
        <c:gapWidth val="150"/>
        <c:overlap val="100"/>
        <c:axId val="238414480"/>
        <c:axId val="238411120"/>
      </c:barChart>
      <c:catAx>
        <c:axId val="23841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38411120"/>
        <c:crosses val="autoZero"/>
        <c:auto val="1"/>
        <c:lblAlgn val="ctr"/>
        <c:lblOffset val="100"/>
        <c:noMultiLvlLbl val="0"/>
      </c:catAx>
      <c:valAx>
        <c:axId val="238411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3841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Tase: vastaavaa</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graafeihin'!$B$17</c:f>
              <c:strCache>
                <c:ptCount val="1"/>
                <c:pt idx="0">
                  <c:v>Aineettomat hyödykkeet</c:v>
                </c:pt>
              </c:strCache>
            </c:strRef>
          </c:tx>
          <c:spPr>
            <a:solidFill>
              <a:schemeClr val="accent2">
                <a:lumMod val="60000"/>
                <a:lumOff val="4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graafeihin'!$C$17:$H$17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D75-4F21-B79D-BFE4C775F8D0}"/>
            </c:ext>
          </c:extLst>
        </c:ser>
        <c:ser>
          <c:idx val="1"/>
          <c:order val="1"/>
          <c:tx>
            <c:strRef>
              <c:f>'AT11 Data graafeihin'!$B$18</c:f>
              <c:strCache>
                <c:ptCount val="1"/>
                <c:pt idx="0">
                  <c:v>Aineelliset hyödykkeet</c:v>
                </c:pt>
              </c:strCache>
            </c:strRef>
          </c:tx>
          <c:spPr>
            <a:solidFill>
              <a:schemeClr val="bg1">
                <a:lumMod val="65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graafeihin'!$C$18:$H$18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8D75-4F21-B79D-BFE4C775F8D0}"/>
            </c:ext>
          </c:extLst>
        </c:ser>
        <c:ser>
          <c:idx val="2"/>
          <c:order val="2"/>
          <c:tx>
            <c:strRef>
              <c:f>'AT11 Data graafeihin'!$B$19</c:f>
              <c:strCache>
                <c:ptCount val="1"/>
                <c:pt idx="0">
                  <c:v>Sijoitukset</c:v>
                </c:pt>
              </c:strCache>
            </c:strRef>
          </c:tx>
          <c:spPr>
            <a:solidFill>
              <a:schemeClr val="accent5">
                <a:lumMod val="40000"/>
                <a:lumOff val="6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graafeihin'!$C$19:$H$19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8D75-4F21-B79D-BFE4C775F8D0}"/>
            </c:ext>
          </c:extLst>
        </c:ser>
        <c:ser>
          <c:idx val="3"/>
          <c:order val="3"/>
          <c:tx>
            <c:strRef>
              <c:f>'AT11 Data graafeihin'!$B$20</c:f>
              <c:strCache>
                <c:ptCount val="1"/>
                <c:pt idx="0">
                  <c:v>Vaihto-omaisuus</c:v>
                </c:pt>
              </c:strCache>
            </c:strRef>
          </c:tx>
          <c:spPr>
            <a:solidFill>
              <a:schemeClr val="accent1"/>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graafeihin'!$C$20:$H$20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D75-4F21-B79D-BFE4C775F8D0}"/>
            </c:ext>
          </c:extLst>
        </c:ser>
        <c:ser>
          <c:idx val="4"/>
          <c:order val="4"/>
          <c:tx>
            <c:strRef>
              <c:f>'AT11 Data graafeihin'!$B$21</c:f>
              <c:strCache>
                <c:ptCount val="1"/>
                <c:pt idx="0">
                  <c:v>Saamiset</c:v>
                </c:pt>
              </c:strCache>
            </c:strRef>
          </c:tx>
          <c:spPr>
            <a:solidFill>
              <a:schemeClr val="accent6">
                <a:lumMod val="40000"/>
                <a:lumOff val="6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graafeihin'!$C$21:$H$21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8D75-4F21-B79D-BFE4C775F8D0}"/>
            </c:ext>
          </c:extLst>
        </c:ser>
        <c:ser>
          <c:idx val="5"/>
          <c:order val="5"/>
          <c:tx>
            <c:strRef>
              <c:f>'AT11 Data graafeihin'!$B$22</c:f>
              <c:strCache>
                <c:ptCount val="1"/>
                <c:pt idx="0">
                  <c:v>Rahoitusarvopaperit</c:v>
                </c:pt>
              </c:strCache>
            </c:strRef>
          </c:tx>
          <c:spPr>
            <a:solidFill>
              <a:schemeClr val="accent6"/>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graafeihin'!$C$22:$H$22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8D75-4F21-B79D-BFE4C775F8D0}"/>
            </c:ext>
          </c:extLst>
        </c:ser>
        <c:ser>
          <c:idx val="6"/>
          <c:order val="6"/>
          <c:tx>
            <c:strRef>
              <c:f>'AT11 Data graafeihin'!$B$23</c:f>
              <c:strCache>
                <c:ptCount val="1"/>
                <c:pt idx="0">
                  <c:v>Rahat ja pankkisaamiset</c:v>
                </c:pt>
              </c:strCache>
            </c:strRef>
          </c:tx>
          <c:spPr>
            <a:solidFill>
              <a:schemeClr val="accent4"/>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graafeihin'!$C$23:$H$23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8D75-4F21-B79D-BFE4C775F8D0}"/>
            </c:ext>
          </c:extLst>
        </c:ser>
        <c:dLbls>
          <c:showLegendKey val="0"/>
          <c:showVal val="0"/>
          <c:showCatName val="0"/>
          <c:showSerName val="0"/>
          <c:showPercent val="0"/>
          <c:showBubbleSize val="0"/>
        </c:dLbls>
        <c:gapWidth val="150"/>
        <c:overlap val="100"/>
        <c:axId val="1565298752"/>
        <c:axId val="1565305952"/>
      </c:barChart>
      <c:catAx>
        <c:axId val="15652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65305952"/>
        <c:crosses val="autoZero"/>
        <c:auto val="1"/>
        <c:lblAlgn val="ctr"/>
        <c:lblOffset val="100"/>
        <c:noMultiLvlLbl val="0"/>
      </c:catAx>
      <c:valAx>
        <c:axId val="1565305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6529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fi-FI" sz="1050"/>
              <a:t>Kustannukset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graafeihin'!$B$41</c:f>
              <c:strCache>
                <c:ptCount val="1"/>
                <c:pt idx="0">
                  <c:v>Palkat ja palkkiot</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graafeihin'!$C$41:$H$41</c:f>
              <c:numCache>
                <c:formatCode>#,##0</c:formatCode>
                <c:ptCount val="6"/>
                <c:pt idx="2">
                  <c:v>0</c:v>
                </c:pt>
                <c:pt idx="3">
                  <c:v>0</c:v>
                </c:pt>
                <c:pt idx="4">
                  <c:v>0</c:v>
                </c:pt>
                <c:pt idx="5">
                  <c:v>0</c:v>
                </c:pt>
              </c:numCache>
            </c:numRef>
          </c:val>
          <c:extLst>
            <c:ext xmlns:c16="http://schemas.microsoft.com/office/drawing/2014/chart" uri="{C3380CC4-5D6E-409C-BE32-E72D297353CC}">
              <c16:uniqueId val="{00000000-01BF-464A-8E7E-91D2AF03D7A2}"/>
            </c:ext>
          </c:extLst>
        </c:ser>
        <c:ser>
          <c:idx val="1"/>
          <c:order val="1"/>
          <c:tx>
            <c:strRef>
              <c:f>'AT11 Data graafeihin'!$B$42</c:f>
              <c:strCache>
                <c:ptCount val="1"/>
                <c:pt idx="0">
                  <c:v>Henkilöstösivukulut</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graafeihin'!$C$42:$H$42</c:f>
              <c:numCache>
                <c:formatCode>#,##0</c:formatCode>
                <c:ptCount val="6"/>
                <c:pt idx="2">
                  <c:v>0</c:v>
                </c:pt>
                <c:pt idx="3">
                  <c:v>0</c:v>
                </c:pt>
                <c:pt idx="4">
                  <c:v>0</c:v>
                </c:pt>
                <c:pt idx="5">
                  <c:v>0</c:v>
                </c:pt>
              </c:numCache>
            </c:numRef>
          </c:val>
          <c:extLst>
            <c:ext xmlns:c16="http://schemas.microsoft.com/office/drawing/2014/chart" uri="{C3380CC4-5D6E-409C-BE32-E72D297353CC}">
              <c16:uniqueId val="{00000001-01BF-464A-8E7E-91D2AF03D7A2}"/>
            </c:ext>
          </c:extLst>
        </c:ser>
        <c:ser>
          <c:idx val="2"/>
          <c:order val="2"/>
          <c:tx>
            <c:strRef>
              <c:f>'AT11 Data graafeihin'!$B$43</c:f>
              <c:strCache>
                <c:ptCount val="1"/>
                <c:pt idx="0">
                  <c:v>Liiketoiminnan muut kulut</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graafeihin'!$C$43:$H$43</c:f>
              <c:numCache>
                <c:formatCode>#,##0</c:formatCode>
                <c:ptCount val="6"/>
                <c:pt idx="2">
                  <c:v>0</c:v>
                </c:pt>
                <c:pt idx="3">
                  <c:v>0</c:v>
                </c:pt>
                <c:pt idx="4">
                  <c:v>0</c:v>
                </c:pt>
                <c:pt idx="5">
                  <c:v>0</c:v>
                </c:pt>
              </c:numCache>
            </c:numRef>
          </c:val>
          <c:extLst>
            <c:ext xmlns:c16="http://schemas.microsoft.com/office/drawing/2014/chart" uri="{C3380CC4-5D6E-409C-BE32-E72D297353CC}">
              <c16:uniqueId val="{00000002-01BF-464A-8E7E-91D2AF03D7A2}"/>
            </c:ext>
          </c:extLst>
        </c:ser>
        <c:dLbls>
          <c:showLegendKey val="0"/>
          <c:showVal val="0"/>
          <c:showCatName val="0"/>
          <c:showSerName val="0"/>
          <c:showPercent val="0"/>
          <c:showBubbleSize val="0"/>
        </c:dLbls>
        <c:gapWidth val="150"/>
        <c:overlap val="100"/>
        <c:axId val="194316880"/>
        <c:axId val="194318800"/>
      </c:barChart>
      <c:catAx>
        <c:axId val="19431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4318800"/>
        <c:crosses val="autoZero"/>
        <c:auto val="1"/>
        <c:lblAlgn val="ctr"/>
        <c:lblOffset val="100"/>
        <c:noMultiLvlLbl val="0"/>
      </c:catAx>
      <c:valAx>
        <c:axId val="19431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431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Ainekäyttö ja myyntikate</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graafeihin'!$B$46</c:f>
              <c:strCache>
                <c:ptCount val="1"/>
                <c:pt idx="0">
                  <c:v>Ainekäyttö</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graafeihin'!$C$46:$H$46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CEC-4321-8D85-D1A9B06FB089}"/>
            </c:ext>
          </c:extLst>
        </c:ser>
        <c:ser>
          <c:idx val="1"/>
          <c:order val="1"/>
          <c:tx>
            <c:strRef>
              <c:f>'AT11 Data graafeihin'!$B$47</c:f>
              <c:strCache>
                <c:ptCount val="1"/>
                <c:pt idx="0">
                  <c:v>Myyntikate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graafeihin'!$C$47:$H$47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CEC-4321-8D85-D1A9B06FB089}"/>
            </c:ext>
          </c:extLst>
        </c:ser>
        <c:dLbls>
          <c:showLegendKey val="0"/>
          <c:showVal val="0"/>
          <c:showCatName val="0"/>
          <c:showSerName val="0"/>
          <c:showPercent val="0"/>
          <c:showBubbleSize val="0"/>
        </c:dLbls>
        <c:gapWidth val="219"/>
        <c:overlap val="100"/>
        <c:axId val="193010880"/>
        <c:axId val="194570976"/>
      </c:barChart>
      <c:lineChart>
        <c:grouping val="stacked"/>
        <c:varyColors val="0"/>
        <c:ser>
          <c:idx val="2"/>
          <c:order val="2"/>
          <c:tx>
            <c:strRef>
              <c:f>'AT11 Data graafeihin'!$B$48</c:f>
              <c:strCache>
                <c:ptCount val="1"/>
                <c:pt idx="0">
                  <c:v>Myyntikate-%</c:v>
                </c:pt>
              </c:strCache>
            </c:strRef>
          </c:tx>
          <c:spPr>
            <a:ln w="12700"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graafeihin'!$C$48:$H$48</c:f>
              <c:numCache>
                <c:formatCode>0.0\ %</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1CEC-4321-8D85-D1A9B06FB089}"/>
            </c:ext>
          </c:extLst>
        </c:ser>
        <c:dLbls>
          <c:showLegendKey val="0"/>
          <c:showVal val="0"/>
          <c:showCatName val="0"/>
          <c:showSerName val="0"/>
          <c:showPercent val="0"/>
          <c:showBubbleSize val="0"/>
        </c:dLbls>
        <c:marker val="1"/>
        <c:smooth val="0"/>
        <c:axId val="167451840"/>
        <c:axId val="167460000"/>
      </c:lineChart>
      <c:catAx>
        <c:axId val="19301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4570976"/>
        <c:crosses val="autoZero"/>
        <c:auto val="1"/>
        <c:lblAlgn val="ctr"/>
        <c:lblOffset val="100"/>
        <c:noMultiLvlLbl val="0"/>
      </c:catAx>
      <c:valAx>
        <c:axId val="19457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3010880"/>
        <c:crosses val="autoZero"/>
        <c:crossBetween val="between"/>
      </c:valAx>
      <c:valAx>
        <c:axId val="167460000"/>
        <c:scaling>
          <c:orientation val="minMax"/>
        </c:scaling>
        <c:delete val="0"/>
        <c:axPos val="r"/>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7451840"/>
        <c:crosses val="max"/>
        <c:crossBetween val="between"/>
      </c:valAx>
      <c:catAx>
        <c:axId val="167451840"/>
        <c:scaling>
          <c:orientation val="minMax"/>
        </c:scaling>
        <c:delete val="1"/>
        <c:axPos val="b"/>
        <c:numFmt formatCode="General" sourceLinked="1"/>
        <c:majorTickMark val="out"/>
        <c:minorTickMark val="none"/>
        <c:tickLblPos val="nextTo"/>
        <c:crossAx val="1674600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graafeihin'!$B$45</c:f>
              <c:strCache>
                <c:ptCount val="1"/>
                <c:pt idx="0">
                  <c:v>Liikevaihto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graafeihin'!$C$45:$H$45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83E-4394-9781-5D17A460DEDB}"/>
            </c:ext>
          </c:extLst>
        </c:ser>
        <c:dLbls>
          <c:showLegendKey val="0"/>
          <c:showVal val="0"/>
          <c:showCatName val="0"/>
          <c:showSerName val="0"/>
          <c:showPercent val="0"/>
          <c:showBubbleSize val="0"/>
        </c:dLbls>
        <c:gapWidth val="219"/>
        <c:overlap val="-27"/>
        <c:axId val="237419696"/>
        <c:axId val="237412976"/>
      </c:barChart>
      <c:catAx>
        <c:axId val="23741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37412976"/>
        <c:crosses val="autoZero"/>
        <c:auto val="1"/>
        <c:lblAlgn val="ctr"/>
        <c:lblOffset val="100"/>
        <c:noMultiLvlLbl val="0"/>
      </c:catAx>
      <c:valAx>
        <c:axId val="23741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37419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graafeihin'!$B$50</c:f>
              <c:strCache>
                <c:ptCount val="1"/>
                <c:pt idx="0">
                  <c:v>Rahoitustulos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graafeihin'!$C$50:$H$50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4C2-4D44-BC11-2F692E4B2A9B}"/>
            </c:ext>
          </c:extLst>
        </c:ser>
        <c:dLbls>
          <c:showLegendKey val="0"/>
          <c:showVal val="0"/>
          <c:showCatName val="0"/>
          <c:showSerName val="0"/>
          <c:showPercent val="0"/>
          <c:showBubbleSize val="0"/>
        </c:dLbls>
        <c:gapWidth val="219"/>
        <c:overlap val="-27"/>
        <c:axId val="138263056"/>
        <c:axId val="138263536"/>
      </c:barChart>
      <c:catAx>
        <c:axId val="1382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8263536"/>
        <c:crosses val="autoZero"/>
        <c:auto val="1"/>
        <c:lblAlgn val="ctr"/>
        <c:lblOffset val="100"/>
        <c:noMultiLvlLbl val="0"/>
      </c:catAx>
      <c:valAx>
        <c:axId val="138263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826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graafeihin'!$B$52</c:f>
              <c:strCache>
                <c:ptCount val="1"/>
                <c:pt idx="0">
                  <c:v>Rahan käyttö yhteensä</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graafeihin'!$C$52:$H$52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FB9-48AA-AC62-A388E2225423}"/>
            </c:ext>
          </c:extLst>
        </c:ser>
        <c:dLbls>
          <c:showLegendKey val="0"/>
          <c:showVal val="0"/>
          <c:showCatName val="0"/>
          <c:showSerName val="0"/>
          <c:showPercent val="0"/>
          <c:showBubbleSize val="0"/>
        </c:dLbls>
        <c:gapWidth val="219"/>
        <c:overlap val="-27"/>
        <c:axId val="1565304032"/>
        <c:axId val="1565314592"/>
      </c:barChart>
      <c:catAx>
        <c:axId val="156530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65314592"/>
        <c:crosses val="autoZero"/>
        <c:auto val="1"/>
        <c:lblAlgn val="ctr"/>
        <c:lblOffset val="100"/>
        <c:noMultiLvlLbl val="0"/>
      </c:catAx>
      <c:valAx>
        <c:axId val="156531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65304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graafeihin'!$B$51</c:f>
              <c:strCache>
                <c:ptCount val="1"/>
                <c:pt idx="0">
                  <c:v>Rahan lähteet yhteensä</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graafeihin'!$C$51:$H$51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4A1-4683-AFB6-669C83E1A39E}"/>
            </c:ext>
          </c:extLst>
        </c:ser>
        <c:dLbls>
          <c:showLegendKey val="0"/>
          <c:showVal val="0"/>
          <c:showCatName val="0"/>
          <c:showSerName val="0"/>
          <c:showPercent val="0"/>
          <c:showBubbleSize val="0"/>
        </c:dLbls>
        <c:gapWidth val="219"/>
        <c:overlap val="-27"/>
        <c:axId val="171134784"/>
        <c:axId val="171134304"/>
      </c:barChart>
      <c:catAx>
        <c:axId val="17113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1134304"/>
        <c:crosses val="autoZero"/>
        <c:auto val="1"/>
        <c:lblAlgn val="ctr"/>
        <c:lblOffset val="100"/>
        <c:noMultiLvlLbl val="0"/>
      </c:catAx>
      <c:valAx>
        <c:axId val="171134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113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i-FI" sz="1100" b="1"/>
              <a:t>Tulot - Menot ja Kumulatiivinen</a:t>
            </a:r>
            <a:r>
              <a:rPr lang="fi-FI" sz="1100" b="1" baseline="0"/>
              <a:t> kassa kuukauden lopussa</a:t>
            </a:r>
            <a:endParaRPr lang="fi-FI"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v>Tulot - Menot</c:v>
          </c:tx>
          <c:spPr>
            <a:solidFill>
              <a:schemeClr val="accent1">
                <a:lumMod val="20000"/>
                <a:lumOff val="80000"/>
              </a:schemeClr>
            </a:solidFill>
            <a:ln>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KASSABUDJETTI'!$G$46:$R$46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'9 KASSABUDJETTI'!$G$55:$R$55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70-47D8-BFB6-A70681C3B074}"/>
            </c:ext>
          </c:extLst>
        </c:ser>
        <c:ser>
          <c:idx val="1"/>
          <c:order val="1"/>
          <c:tx>
            <c:v>Kumulatiivinen kassa kuukauden lopussa</c:v>
          </c:tx>
          <c:spPr>
            <a:solidFill>
              <a:schemeClr val="accent2">
                <a:lumMod val="60000"/>
                <a:lumOff val="40000"/>
              </a:schemeClr>
            </a:solidFill>
            <a:ln>
              <a:solidFill>
                <a:schemeClr val="accent2">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KASSABUDJETTI'!$G$46:$R$46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'9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270-47D8-BFB6-A70681C3B074}"/>
            </c:ext>
          </c:extLst>
        </c:ser>
        <c:dLbls>
          <c:showLegendKey val="0"/>
          <c:showVal val="0"/>
          <c:showCatName val="0"/>
          <c:showSerName val="0"/>
          <c:showPercent val="0"/>
          <c:showBubbleSize val="0"/>
        </c:dLbls>
        <c:gapWidth val="150"/>
        <c:axId val="1399831791"/>
        <c:axId val="1399823631"/>
      </c:barChart>
      <c:dateAx>
        <c:axId val="1399831791"/>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i-FI"/>
          </a:p>
        </c:txPr>
        <c:crossAx val="1399823631"/>
        <c:crosses val="autoZero"/>
        <c:auto val="1"/>
        <c:lblOffset val="100"/>
        <c:baseTimeUnit val="months"/>
      </c:dateAx>
      <c:valAx>
        <c:axId val="13998236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9983179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i-FI"/>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graafeihin'!$B$53</c:f>
              <c:strCache>
                <c:ptCount val="1"/>
                <c:pt idx="0">
                  <c:v>Yli-/alijäämä</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graafeihin'!$C$53:$H$53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6F2-44E2-A1EB-70534F5CD8C8}"/>
            </c:ext>
          </c:extLst>
        </c:ser>
        <c:dLbls>
          <c:showLegendKey val="0"/>
          <c:showVal val="0"/>
          <c:showCatName val="0"/>
          <c:showSerName val="0"/>
          <c:showPercent val="0"/>
          <c:showBubbleSize val="0"/>
        </c:dLbls>
        <c:gapWidth val="219"/>
        <c:overlap val="-27"/>
        <c:axId val="191561296"/>
        <c:axId val="191558416"/>
      </c:barChart>
      <c:catAx>
        <c:axId val="19156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1558416"/>
        <c:crosses val="autoZero"/>
        <c:auto val="1"/>
        <c:lblAlgn val="ctr"/>
        <c:lblOffset val="100"/>
        <c:noMultiLvlLbl val="0"/>
      </c:catAx>
      <c:valAx>
        <c:axId val="191558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156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graafeihin'!$B$54</c:f>
              <c:strCache>
                <c:ptCount val="1"/>
                <c:pt idx="0">
                  <c:v>Kumulatiivinen yli-/alijäämä</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graafeihin'!$C$54:$H$54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DED-424E-9F7C-16E8D2CC9CA4}"/>
            </c:ext>
          </c:extLst>
        </c:ser>
        <c:dLbls>
          <c:showLegendKey val="0"/>
          <c:showVal val="0"/>
          <c:showCatName val="0"/>
          <c:showSerName val="0"/>
          <c:showPercent val="0"/>
          <c:showBubbleSize val="0"/>
        </c:dLbls>
        <c:gapWidth val="219"/>
        <c:overlap val="-27"/>
        <c:axId val="127347216"/>
        <c:axId val="127345776"/>
      </c:barChart>
      <c:catAx>
        <c:axId val="12734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7345776"/>
        <c:crosses val="autoZero"/>
        <c:auto val="1"/>
        <c:lblAlgn val="ctr"/>
        <c:lblOffset val="100"/>
        <c:noMultiLvlLbl val="0"/>
      </c:catAx>
      <c:valAx>
        <c:axId val="127345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734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graafeihin'!$B$61</c:f>
              <c:strCache>
                <c:ptCount val="1"/>
                <c:pt idx="0">
                  <c:v>Käyttöpääoma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graafeihin'!$C$61:$H$61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9B1-43A3-9B25-3E69ADFFF1A0}"/>
            </c:ext>
          </c:extLst>
        </c:ser>
        <c:dLbls>
          <c:showLegendKey val="0"/>
          <c:showVal val="0"/>
          <c:showCatName val="0"/>
          <c:showSerName val="0"/>
          <c:showPercent val="0"/>
          <c:showBubbleSize val="0"/>
        </c:dLbls>
        <c:gapWidth val="219"/>
        <c:overlap val="-27"/>
        <c:axId val="127338576"/>
        <c:axId val="127346256"/>
      </c:barChart>
      <c:catAx>
        <c:axId val="12733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7346256"/>
        <c:crosses val="autoZero"/>
        <c:auto val="1"/>
        <c:lblAlgn val="ctr"/>
        <c:lblOffset val="100"/>
        <c:noMultiLvlLbl val="0"/>
      </c:catAx>
      <c:valAx>
        <c:axId val="12734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733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Käyttöpääoma: varat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graafeihin'!$B$55</c:f>
              <c:strCache>
                <c:ptCount val="1"/>
                <c:pt idx="0">
                  <c:v>Vaihto-omaisuus</c:v>
                </c:pt>
              </c:strCache>
            </c:strRef>
          </c:tx>
          <c:spPr>
            <a:solidFill>
              <a:schemeClr val="accent2">
                <a:lumMod val="60000"/>
                <a:lumOff val="4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graafeihin'!$C$55:$H$55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E10-4A3D-B915-7FF8E50CACD6}"/>
            </c:ext>
          </c:extLst>
        </c:ser>
        <c:ser>
          <c:idx val="1"/>
          <c:order val="1"/>
          <c:tx>
            <c:strRef>
              <c:f>'AT11 Data graafeihin'!$B$56</c:f>
              <c:strCache>
                <c:ptCount val="1"/>
                <c:pt idx="0">
                  <c:v>Myyntisaamiset</c:v>
                </c:pt>
              </c:strCache>
            </c:strRef>
          </c:tx>
          <c:spPr>
            <a:solidFill>
              <a:schemeClr val="bg1">
                <a:lumMod val="65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graafeihin'!$C$56:$H$56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E10-4A3D-B915-7FF8E50CACD6}"/>
            </c:ext>
          </c:extLst>
        </c:ser>
        <c:ser>
          <c:idx val="2"/>
          <c:order val="2"/>
          <c:tx>
            <c:strRef>
              <c:f>'AT11 Data graafeihin'!$B$57</c:f>
              <c:strCache>
                <c:ptCount val="1"/>
                <c:pt idx="0">
                  <c:v>Muut saamiset</c:v>
                </c:pt>
              </c:strCache>
            </c:strRef>
          </c:tx>
          <c:spPr>
            <a:solidFill>
              <a:schemeClr val="accent5">
                <a:lumMod val="40000"/>
                <a:lumOff val="6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graafeihin'!$C$57:$H$57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E10-4A3D-B915-7FF8E50CACD6}"/>
            </c:ext>
          </c:extLst>
        </c:ser>
        <c:ser>
          <c:idx val="3"/>
          <c:order val="3"/>
          <c:tx>
            <c:strRef>
              <c:f>'AT11 Data graafeihin'!$B$58</c:f>
              <c:strCache>
                <c:ptCount val="1"/>
                <c:pt idx="0">
                  <c:v>Osatuloutuksen saamiset</c:v>
                </c:pt>
              </c:strCache>
            </c:strRef>
          </c:tx>
          <c:spPr>
            <a:solidFill>
              <a:schemeClr val="accent1"/>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graafeihin'!$C$58:$H$58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1E10-4A3D-B915-7FF8E50CACD6}"/>
            </c:ext>
          </c:extLst>
        </c:ser>
        <c:dLbls>
          <c:showLegendKey val="0"/>
          <c:showVal val="0"/>
          <c:showCatName val="0"/>
          <c:showSerName val="0"/>
          <c:showPercent val="0"/>
          <c:showBubbleSize val="0"/>
        </c:dLbls>
        <c:gapWidth val="150"/>
        <c:overlap val="100"/>
        <c:axId val="175692528"/>
        <c:axId val="1520400992"/>
      </c:barChart>
      <c:catAx>
        <c:axId val="17569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20400992"/>
        <c:crosses val="autoZero"/>
        <c:auto val="1"/>
        <c:lblAlgn val="ctr"/>
        <c:lblOffset val="100"/>
        <c:noMultiLvlLbl val="0"/>
      </c:catAx>
      <c:valAx>
        <c:axId val="152040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569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Käyttöpääoma: velat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graafeihin'!$B$59</c:f>
              <c:strCache>
                <c:ptCount val="1"/>
                <c:pt idx="0">
                  <c:v>Ostovelat</c:v>
                </c:pt>
              </c:strCache>
            </c:strRef>
          </c:tx>
          <c:spPr>
            <a:solidFill>
              <a:schemeClr val="accent2">
                <a:lumMod val="60000"/>
                <a:lumOff val="4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graafeihin'!$C$59:$H$59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90A-464B-A963-0B57731028E9}"/>
            </c:ext>
          </c:extLst>
        </c:ser>
        <c:ser>
          <c:idx val="1"/>
          <c:order val="1"/>
          <c:tx>
            <c:strRef>
              <c:f>'AT11 Data graafeihin'!$B$60</c:f>
              <c:strCache>
                <c:ptCount val="1"/>
                <c:pt idx="0">
                  <c:v>Saadut ennakot</c:v>
                </c:pt>
              </c:strCache>
            </c:strRef>
          </c:tx>
          <c:spPr>
            <a:solidFill>
              <a:schemeClr val="bg1">
                <a:lumMod val="65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graafeihin'!$C$60:$H$60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C90A-464B-A963-0B57731028E9}"/>
            </c:ext>
          </c:extLst>
        </c:ser>
        <c:dLbls>
          <c:showLegendKey val="0"/>
          <c:showVal val="0"/>
          <c:showCatName val="0"/>
          <c:showSerName val="0"/>
          <c:showPercent val="0"/>
          <c:showBubbleSize val="0"/>
        </c:dLbls>
        <c:gapWidth val="150"/>
        <c:overlap val="100"/>
        <c:axId val="194570496"/>
        <c:axId val="194569056"/>
      </c:barChart>
      <c:catAx>
        <c:axId val="19457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4569056"/>
        <c:crosses val="autoZero"/>
        <c:auto val="1"/>
        <c:lblAlgn val="ctr"/>
        <c:lblOffset val="100"/>
        <c:noMultiLvlLbl val="0"/>
      </c:catAx>
      <c:valAx>
        <c:axId val="194569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457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Käyttökate (EBITDA)</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graafeihin'!$B$63</c:f>
              <c:strCache>
                <c:ptCount val="1"/>
                <c:pt idx="0">
                  <c:v>Käyttökate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graafeihin'!$C$63:$H$63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E3A-43CE-BCBD-52B2A9CC092F}"/>
            </c:ext>
          </c:extLst>
        </c:ser>
        <c:dLbls>
          <c:showLegendKey val="0"/>
          <c:showVal val="0"/>
          <c:showCatName val="0"/>
          <c:showSerName val="0"/>
          <c:showPercent val="0"/>
          <c:showBubbleSize val="0"/>
        </c:dLbls>
        <c:gapWidth val="219"/>
        <c:overlap val="-27"/>
        <c:axId val="173652848"/>
        <c:axId val="173656208"/>
      </c:barChart>
      <c:lineChart>
        <c:grouping val="stacked"/>
        <c:varyColors val="0"/>
        <c:ser>
          <c:idx val="1"/>
          <c:order val="1"/>
          <c:tx>
            <c:strRef>
              <c:f>'AT11 Data graafeihin'!$B$64</c:f>
              <c:strCache>
                <c:ptCount val="1"/>
                <c:pt idx="0">
                  <c:v>Käyttökate-%</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graafeihin'!$C$64:$H$64</c:f>
              <c:numCache>
                <c:formatCode>0.0\ %</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CE3A-43CE-BCBD-52B2A9CC092F}"/>
            </c:ext>
          </c:extLst>
        </c:ser>
        <c:dLbls>
          <c:showLegendKey val="0"/>
          <c:showVal val="0"/>
          <c:showCatName val="0"/>
          <c:showSerName val="0"/>
          <c:showPercent val="0"/>
          <c:showBubbleSize val="0"/>
        </c:dLbls>
        <c:marker val="1"/>
        <c:smooth val="0"/>
        <c:axId val="173653328"/>
        <c:axId val="173658128"/>
      </c:lineChart>
      <c:catAx>
        <c:axId val="17365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3656208"/>
        <c:crosses val="autoZero"/>
        <c:auto val="1"/>
        <c:lblAlgn val="ctr"/>
        <c:lblOffset val="100"/>
        <c:noMultiLvlLbl val="0"/>
      </c:catAx>
      <c:valAx>
        <c:axId val="173656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3652848"/>
        <c:crosses val="autoZero"/>
        <c:crossBetween val="between"/>
      </c:valAx>
      <c:valAx>
        <c:axId val="173658128"/>
        <c:scaling>
          <c:orientation val="minMax"/>
        </c:scaling>
        <c:delete val="0"/>
        <c:axPos val="r"/>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3653328"/>
        <c:crosses val="max"/>
        <c:crossBetween val="between"/>
      </c:valAx>
      <c:catAx>
        <c:axId val="173653328"/>
        <c:scaling>
          <c:orientation val="minMax"/>
        </c:scaling>
        <c:delete val="1"/>
        <c:axPos val="b"/>
        <c:numFmt formatCode="General" sourceLinked="1"/>
        <c:majorTickMark val="none"/>
        <c:minorTickMark val="none"/>
        <c:tickLblPos val="nextTo"/>
        <c:crossAx val="1736581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Liiketulos (EBIT)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graafeihin'!$B$65</c:f>
              <c:strCache>
                <c:ptCount val="1"/>
                <c:pt idx="0">
                  <c:v>Liiketulos</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graafeihin'!$C$65:$H$65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993-43EE-8C80-E3F14C6C1385}"/>
            </c:ext>
          </c:extLst>
        </c:ser>
        <c:dLbls>
          <c:showLegendKey val="0"/>
          <c:showVal val="0"/>
          <c:showCatName val="0"/>
          <c:showSerName val="0"/>
          <c:showPercent val="0"/>
          <c:showBubbleSize val="0"/>
        </c:dLbls>
        <c:gapWidth val="219"/>
        <c:overlap val="-27"/>
        <c:axId val="192516400"/>
        <c:axId val="192512560"/>
      </c:barChart>
      <c:lineChart>
        <c:grouping val="stacked"/>
        <c:varyColors val="0"/>
        <c:ser>
          <c:idx val="1"/>
          <c:order val="1"/>
          <c:tx>
            <c:strRef>
              <c:f>'AT11 Data graafeihin'!$B$66</c:f>
              <c:strCache>
                <c:ptCount val="1"/>
                <c:pt idx="0">
                  <c:v>Liiketulos-%</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graafeihin'!$C$66:$H$66</c:f>
              <c:numCache>
                <c:formatCode>0.0\ %</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6993-43EE-8C80-E3F14C6C1385}"/>
            </c:ext>
          </c:extLst>
        </c:ser>
        <c:dLbls>
          <c:showLegendKey val="0"/>
          <c:showVal val="0"/>
          <c:showCatName val="0"/>
          <c:showSerName val="0"/>
          <c:showPercent val="0"/>
          <c:showBubbleSize val="0"/>
        </c:dLbls>
        <c:marker val="1"/>
        <c:smooth val="0"/>
        <c:axId val="192502960"/>
        <c:axId val="192516880"/>
      </c:lineChart>
      <c:catAx>
        <c:axId val="19251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512560"/>
        <c:crosses val="autoZero"/>
        <c:auto val="1"/>
        <c:lblAlgn val="ctr"/>
        <c:lblOffset val="100"/>
        <c:noMultiLvlLbl val="0"/>
      </c:catAx>
      <c:valAx>
        <c:axId val="192512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516400"/>
        <c:crosses val="autoZero"/>
        <c:crossBetween val="between"/>
      </c:valAx>
      <c:valAx>
        <c:axId val="192516880"/>
        <c:scaling>
          <c:orientation val="minMax"/>
        </c:scaling>
        <c:delete val="0"/>
        <c:axPos val="r"/>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502960"/>
        <c:crosses val="max"/>
        <c:crossBetween val="between"/>
      </c:valAx>
      <c:catAx>
        <c:axId val="192502960"/>
        <c:scaling>
          <c:orientation val="minMax"/>
        </c:scaling>
        <c:delete val="1"/>
        <c:axPos val="b"/>
        <c:numFmt formatCode="General" sourceLinked="1"/>
        <c:majorTickMark val="none"/>
        <c:minorTickMark val="none"/>
        <c:tickLblPos val="nextTo"/>
        <c:crossAx val="1925168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fi-FI" sz="1050"/>
              <a:t>Tilikauden voitto</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graafeihin'!$B$67</c:f>
              <c:strCache>
                <c:ptCount val="1"/>
                <c:pt idx="0">
                  <c:v>Tilikauden voitto</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graafeihin'!$C$67:$H$67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A48-4EED-9328-46D6134466D0}"/>
            </c:ext>
          </c:extLst>
        </c:ser>
        <c:dLbls>
          <c:showLegendKey val="0"/>
          <c:showVal val="0"/>
          <c:showCatName val="0"/>
          <c:showSerName val="0"/>
          <c:showPercent val="0"/>
          <c:showBubbleSize val="0"/>
        </c:dLbls>
        <c:gapWidth val="219"/>
        <c:overlap val="-27"/>
        <c:axId val="244482816"/>
        <c:axId val="244474176"/>
      </c:barChart>
      <c:lineChart>
        <c:grouping val="stacked"/>
        <c:varyColors val="0"/>
        <c:ser>
          <c:idx val="1"/>
          <c:order val="1"/>
          <c:tx>
            <c:strRef>
              <c:f>'AT11 Data graafeihin'!$B$68</c:f>
              <c:strCache>
                <c:ptCount val="1"/>
                <c:pt idx="0">
                  <c:v>Tilikauden voitto-%</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graafeihin'!$C$68:$H$68</c:f>
              <c:numCache>
                <c:formatCode>0.0\ %</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3A48-4EED-9328-46D6134466D0}"/>
            </c:ext>
          </c:extLst>
        </c:ser>
        <c:dLbls>
          <c:showLegendKey val="0"/>
          <c:showVal val="0"/>
          <c:showCatName val="0"/>
          <c:showSerName val="0"/>
          <c:showPercent val="0"/>
          <c:showBubbleSize val="0"/>
        </c:dLbls>
        <c:marker val="1"/>
        <c:smooth val="0"/>
        <c:axId val="192509200"/>
        <c:axId val="192508720"/>
      </c:lineChart>
      <c:catAx>
        <c:axId val="24448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4474176"/>
        <c:crosses val="autoZero"/>
        <c:auto val="1"/>
        <c:lblAlgn val="ctr"/>
        <c:lblOffset val="100"/>
        <c:noMultiLvlLbl val="0"/>
      </c:catAx>
      <c:valAx>
        <c:axId val="244474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4482816"/>
        <c:crosses val="autoZero"/>
        <c:crossBetween val="between"/>
      </c:valAx>
      <c:valAx>
        <c:axId val="192508720"/>
        <c:scaling>
          <c:orientation val="minMax"/>
        </c:scaling>
        <c:delete val="0"/>
        <c:axPos val="r"/>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509200"/>
        <c:crosses val="max"/>
        <c:crossBetween val="between"/>
      </c:valAx>
      <c:catAx>
        <c:axId val="192509200"/>
        <c:scaling>
          <c:orientation val="minMax"/>
        </c:scaling>
        <c:delete val="1"/>
        <c:axPos val="b"/>
        <c:numFmt formatCode="General" sourceLinked="1"/>
        <c:majorTickMark val="none"/>
        <c:minorTickMark val="none"/>
        <c:tickLblPos val="nextTo"/>
        <c:crossAx val="1925087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Sijoitetun pääoman tuotto-% (ROI)</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graafeihin'!$B$69</c:f>
              <c:strCache>
                <c:ptCount val="1"/>
                <c:pt idx="0">
                  <c:v>Sijoitettu pääoma (IC)</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graafeihin'!$C$69:$H$69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E55-4F87-BE28-90F869A1BCA6}"/>
            </c:ext>
          </c:extLst>
        </c:ser>
        <c:dLbls>
          <c:showLegendKey val="0"/>
          <c:showVal val="0"/>
          <c:showCatName val="0"/>
          <c:showSerName val="0"/>
          <c:showPercent val="0"/>
          <c:showBubbleSize val="0"/>
        </c:dLbls>
        <c:gapWidth val="219"/>
        <c:overlap val="-27"/>
        <c:axId val="173644688"/>
        <c:axId val="173645648"/>
      </c:barChart>
      <c:lineChart>
        <c:grouping val="stacked"/>
        <c:varyColors val="0"/>
        <c:ser>
          <c:idx val="1"/>
          <c:order val="1"/>
          <c:tx>
            <c:strRef>
              <c:f>'AT11 Data graafeihin'!$B$70</c:f>
              <c:strCache>
                <c:ptCount val="1"/>
                <c:pt idx="0">
                  <c:v>Sijoitetun pääoman tuotto-% (ROI)</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graafeihin'!$C$70:$H$70</c:f>
              <c:numCache>
                <c:formatCode>0.0\ %</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BE55-4F87-BE28-90F869A1BCA6}"/>
            </c:ext>
          </c:extLst>
        </c:ser>
        <c:dLbls>
          <c:showLegendKey val="0"/>
          <c:showVal val="0"/>
          <c:showCatName val="0"/>
          <c:showSerName val="0"/>
          <c:showPercent val="0"/>
          <c:showBubbleSize val="0"/>
        </c:dLbls>
        <c:marker val="1"/>
        <c:smooth val="0"/>
        <c:axId val="173651408"/>
        <c:axId val="173655248"/>
      </c:lineChart>
      <c:catAx>
        <c:axId val="17364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3645648"/>
        <c:crosses val="autoZero"/>
        <c:auto val="1"/>
        <c:lblAlgn val="ctr"/>
        <c:lblOffset val="100"/>
        <c:noMultiLvlLbl val="0"/>
      </c:catAx>
      <c:valAx>
        <c:axId val="173645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3644688"/>
        <c:crosses val="autoZero"/>
        <c:crossBetween val="between"/>
      </c:valAx>
      <c:valAx>
        <c:axId val="173655248"/>
        <c:scaling>
          <c:orientation val="minMax"/>
        </c:scaling>
        <c:delete val="0"/>
        <c:axPos val="r"/>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3651408"/>
        <c:crosses val="max"/>
        <c:crossBetween val="between"/>
      </c:valAx>
      <c:catAx>
        <c:axId val="173651408"/>
        <c:scaling>
          <c:orientation val="minMax"/>
        </c:scaling>
        <c:delete val="1"/>
        <c:axPos val="b"/>
        <c:numFmt formatCode="General" sourceLinked="1"/>
        <c:majorTickMark val="none"/>
        <c:minorTickMark val="none"/>
        <c:tickLblPos val="nextTo"/>
        <c:crossAx val="1736552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Rahoitustulos</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graafeihin'!$B$71</c:f>
              <c:strCache>
                <c:ptCount val="1"/>
                <c:pt idx="0">
                  <c:v>Rahoitustulos</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graafeihin'!$C$71:$H$71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A02-4574-94CD-7BE21A0013AB}"/>
            </c:ext>
          </c:extLst>
        </c:ser>
        <c:dLbls>
          <c:showLegendKey val="0"/>
          <c:showVal val="0"/>
          <c:showCatName val="0"/>
          <c:showSerName val="0"/>
          <c:showPercent val="0"/>
          <c:showBubbleSize val="0"/>
        </c:dLbls>
        <c:gapWidth val="219"/>
        <c:overlap val="-27"/>
        <c:axId val="192892640"/>
        <c:axId val="192898880"/>
      </c:barChart>
      <c:lineChart>
        <c:grouping val="stacked"/>
        <c:varyColors val="0"/>
        <c:ser>
          <c:idx val="1"/>
          <c:order val="1"/>
          <c:tx>
            <c:strRef>
              <c:f>'AT11 Data graafeihin'!$B$72</c:f>
              <c:strCache>
                <c:ptCount val="1"/>
                <c:pt idx="0">
                  <c:v>Rahoitustulos-%</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graafeihin'!$C$72:$H$72</c:f>
              <c:numCache>
                <c:formatCode>0.0\ %</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CA02-4574-94CD-7BE21A0013AB}"/>
            </c:ext>
          </c:extLst>
        </c:ser>
        <c:dLbls>
          <c:showLegendKey val="0"/>
          <c:showVal val="0"/>
          <c:showCatName val="0"/>
          <c:showSerName val="0"/>
          <c:showPercent val="0"/>
          <c:showBubbleSize val="0"/>
        </c:dLbls>
        <c:marker val="1"/>
        <c:smooth val="0"/>
        <c:axId val="192899360"/>
        <c:axId val="192897440"/>
      </c:lineChart>
      <c:catAx>
        <c:axId val="19289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898880"/>
        <c:crosses val="autoZero"/>
        <c:auto val="1"/>
        <c:lblAlgn val="ctr"/>
        <c:lblOffset val="100"/>
        <c:noMultiLvlLbl val="0"/>
      </c:catAx>
      <c:valAx>
        <c:axId val="19289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892640"/>
        <c:crosses val="autoZero"/>
        <c:crossBetween val="between"/>
      </c:valAx>
      <c:valAx>
        <c:axId val="192897440"/>
        <c:scaling>
          <c:orientation val="minMax"/>
        </c:scaling>
        <c:delete val="0"/>
        <c:axPos val="r"/>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899360"/>
        <c:crosses val="max"/>
        <c:crossBetween val="between"/>
      </c:valAx>
      <c:catAx>
        <c:axId val="192899360"/>
        <c:scaling>
          <c:orientation val="minMax"/>
        </c:scaling>
        <c:delete val="1"/>
        <c:axPos val="b"/>
        <c:numFmt formatCode="General" sourceLinked="1"/>
        <c:majorTickMark val="none"/>
        <c:minorTickMark val="none"/>
        <c:tickLblPos val="nextTo"/>
        <c:crossAx val="1928974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graafeihin'!$B$9</c:f>
              <c:strCache>
                <c:ptCount val="1"/>
                <c:pt idx="0">
                  <c:v>Liikevaihto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graafeihin'!$C$9:$H$9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AD0-47DE-A786-BD13340EA8BF}"/>
            </c:ext>
          </c:extLst>
        </c:ser>
        <c:dLbls>
          <c:showLegendKey val="0"/>
          <c:showVal val="0"/>
          <c:showCatName val="0"/>
          <c:showSerName val="0"/>
          <c:showPercent val="0"/>
          <c:showBubbleSize val="0"/>
        </c:dLbls>
        <c:gapWidth val="219"/>
        <c:overlap val="-27"/>
        <c:axId val="838734447"/>
        <c:axId val="838735407"/>
      </c:barChart>
      <c:catAx>
        <c:axId val="83873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38735407"/>
        <c:crosses val="autoZero"/>
        <c:auto val="1"/>
        <c:lblAlgn val="ctr"/>
        <c:lblOffset val="100"/>
        <c:noMultiLvlLbl val="0"/>
      </c:catAx>
      <c:valAx>
        <c:axId val="838735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387344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'AT11 Data graafeihin'!$B$73</c:f>
              <c:strCache>
                <c:ptCount val="1"/>
                <c:pt idx="0">
                  <c:v>Quick ratio</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graafeihin'!$C$73:$H$73</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8052-4E92-9DE7-813820DEF837}"/>
            </c:ext>
          </c:extLst>
        </c:ser>
        <c:dLbls>
          <c:showLegendKey val="0"/>
          <c:showVal val="0"/>
          <c:showCatName val="0"/>
          <c:showSerName val="0"/>
          <c:showPercent val="0"/>
          <c:showBubbleSize val="0"/>
        </c:dLbls>
        <c:marker val="1"/>
        <c:smooth val="0"/>
        <c:axId val="1565340032"/>
        <c:axId val="1565330432"/>
      </c:lineChart>
      <c:catAx>
        <c:axId val="156534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65330432"/>
        <c:crosses val="autoZero"/>
        <c:auto val="1"/>
        <c:lblAlgn val="ctr"/>
        <c:lblOffset val="100"/>
        <c:noMultiLvlLbl val="0"/>
      </c:catAx>
      <c:valAx>
        <c:axId val="1565330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6534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'AT11 Data graafeihin'!$B$74</c:f>
              <c:strCache>
                <c:ptCount val="1"/>
                <c:pt idx="0">
                  <c:v>Current ratio</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graafeihin'!$C$74:$H$74</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50DC-499B-84F8-F70206F6F2AB}"/>
            </c:ext>
          </c:extLst>
        </c:ser>
        <c:dLbls>
          <c:showLegendKey val="0"/>
          <c:showVal val="0"/>
          <c:showCatName val="0"/>
          <c:showSerName val="0"/>
          <c:showPercent val="0"/>
          <c:showBubbleSize val="0"/>
        </c:dLbls>
        <c:marker val="1"/>
        <c:smooth val="0"/>
        <c:axId val="192514000"/>
        <c:axId val="192517840"/>
      </c:lineChart>
      <c:catAx>
        <c:axId val="19251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517840"/>
        <c:crosses val="autoZero"/>
        <c:auto val="1"/>
        <c:lblAlgn val="ctr"/>
        <c:lblOffset val="100"/>
        <c:noMultiLvlLbl val="0"/>
      </c:catAx>
      <c:valAx>
        <c:axId val="192517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9251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'AT11 Data graafeihin'!$B$75</c:f>
              <c:strCache>
                <c:ptCount val="1"/>
                <c:pt idx="0">
                  <c:v>Vieraan pääoman takaisinmaksuaika (vuotta)</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graafeihin'!$C$75:$H$75</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DB3-4A7C-BC27-E45670A21140}"/>
            </c:ext>
          </c:extLst>
        </c:ser>
        <c:dLbls>
          <c:showLegendKey val="0"/>
          <c:showVal val="0"/>
          <c:showCatName val="0"/>
          <c:showSerName val="0"/>
          <c:showPercent val="0"/>
          <c:showBubbleSize val="0"/>
        </c:dLbls>
        <c:marker val="1"/>
        <c:smooth val="0"/>
        <c:axId val="1589418799"/>
        <c:axId val="1589425519"/>
      </c:lineChart>
      <c:catAx>
        <c:axId val="1589418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89425519"/>
        <c:crosses val="autoZero"/>
        <c:auto val="1"/>
        <c:lblAlgn val="ctr"/>
        <c:lblOffset val="100"/>
        <c:noMultiLvlLbl val="0"/>
      </c:catAx>
      <c:valAx>
        <c:axId val="158942551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894187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'AT11 Data graafeihin'!$B$76</c:f>
              <c:strCache>
                <c:ptCount val="1"/>
                <c:pt idx="0">
                  <c:v>Lainojen hoitokate</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graafeihin'!$C$76:$H$76</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FA1-4A8C-800E-D35CA48DD4C7}"/>
            </c:ext>
          </c:extLst>
        </c:ser>
        <c:dLbls>
          <c:showLegendKey val="0"/>
          <c:showVal val="0"/>
          <c:showCatName val="0"/>
          <c:showSerName val="0"/>
          <c:showPercent val="0"/>
          <c:showBubbleSize val="0"/>
        </c:dLbls>
        <c:marker val="1"/>
        <c:smooth val="0"/>
        <c:axId val="96372847"/>
        <c:axId val="96371887"/>
      </c:lineChart>
      <c:catAx>
        <c:axId val="96372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1887"/>
        <c:crosses val="autoZero"/>
        <c:auto val="1"/>
        <c:lblAlgn val="ctr"/>
        <c:lblOffset val="100"/>
        <c:noMultiLvlLbl val="0"/>
      </c:catAx>
      <c:valAx>
        <c:axId val="9637188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2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'AT11 Data graafeihin'!$B$77</c:f>
              <c:strCache>
                <c:ptCount val="1"/>
                <c:pt idx="0">
                  <c:v>Omavaraisuusaste</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graafeihin'!$C$77:$H$77</c:f>
              <c:numCache>
                <c:formatCode>0.0\ %</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43DB-4478-A12E-AAFD8B75B4CA}"/>
            </c:ext>
          </c:extLst>
        </c:ser>
        <c:dLbls>
          <c:showLegendKey val="0"/>
          <c:showVal val="0"/>
          <c:showCatName val="0"/>
          <c:showSerName val="0"/>
          <c:showPercent val="0"/>
          <c:showBubbleSize val="0"/>
        </c:dLbls>
        <c:marker val="1"/>
        <c:smooth val="0"/>
        <c:axId val="96374767"/>
        <c:axId val="96376207"/>
      </c:lineChart>
      <c:catAx>
        <c:axId val="96374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6207"/>
        <c:crosses val="autoZero"/>
        <c:auto val="1"/>
        <c:lblAlgn val="ctr"/>
        <c:lblOffset val="100"/>
        <c:noMultiLvlLbl val="0"/>
      </c:catAx>
      <c:valAx>
        <c:axId val="96376207"/>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4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fi-FI"/>
              <a:t>Net Gearing (nettovelkaantumisaste)</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'AT11 Data graafeihin'!$B$78</c:f>
              <c:strCache>
                <c:ptCount val="1"/>
                <c:pt idx="0">
                  <c:v>Net Gearing (nettovelkaantumisaste)</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graafeihin'!$C$78:$H$78</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B7B0-4FD6-88BA-5E09E97CC0BF}"/>
            </c:ext>
          </c:extLst>
        </c:ser>
        <c:dLbls>
          <c:showLegendKey val="0"/>
          <c:showVal val="0"/>
          <c:showCatName val="0"/>
          <c:showSerName val="0"/>
          <c:showPercent val="0"/>
          <c:showBubbleSize val="0"/>
        </c:dLbls>
        <c:marker val="1"/>
        <c:smooth val="0"/>
        <c:axId val="96374767"/>
        <c:axId val="96376207"/>
      </c:lineChart>
      <c:catAx>
        <c:axId val="96374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6207"/>
        <c:crosses val="autoZero"/>
        <c:auto val="1"/>
        <c:lblAlgn val="ctr"/>
        <c:lblOffset val="100"/>
        <c:noMultiLvlLbl val="0"/>
      </c:catAx>
      <c:valAx>
        <c:axId val="9637620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4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fi-FI"/>
              <a:t>Kriisitunnusluku Z (3 muuttujaa)</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'AT11 Data graafeihin'!$B$79</c:f>
              <c:strCache>
                <c:ptCount val="1"/>
                <c:pt idx="0">
                  <c:v>Kriisitunnusluku Z (3 muuttujaa)</c:v>
                </c:pt>
              </c:strCache>
            </c:strRef>
          </c:tx>
          <c:spPr>
            <a:ln w="12700" cap="rnd">
              <a:solidFill>
                <a:schemeClr val="accent4"/>
              </a:solidFill>
              <a:round/>
            </a:ln>
            <a:effectLst/>
          </c:spPr>
          <c:marker>
            <c:symbol val="circle"/>
            <c:size val="5"/>
            <c:spPr>
              <a:solidFill>
                <a:schemeClr val="accent4"/>
              </a:solidFill>
              <a:ln w="12700">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graafeihin'!$C$79:$H$79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39EF-44DD-A56D-974768388620}"/>
            </c:ext>
          </c:extLst>
        </c:ser>
        <c:dLbls>
          <c:showLegendKey val="0"/>
          <c:showVal val="0"/>
          <c:showCatName val="0"/>
          <c:showSerName val="0"/>
          <c:showPercent val="0"/>
          <c:showBubbleSize val="0"/>
        </c:dLbls>
        <c:marker val="1"/>
        <c:smooth val="0"/>
        <c:axId val="96374767"/>
        <c:axId val="96376207"/>
      </c:lineChart>
      <c:catAx>
        <c:axId val="96374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6207"/>
        <c:crosses val="autoZero"/>
        <c:auto val="1"/>
        <c:lblAlgn val="ctr"/>
        <c:lblOffset val="100"/>
        <c:noMultiLvlLbl val="0"/>
      </c:catAx>
      <c:valAx>
        <c:axId val="963762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6374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graafeihin'!$B$80</c:f>
              <c:strCache>
                <c:ptCount val="1"/>
                <c:pt idx="0">
                  <c:v>Nettovarallisuus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graafeihin'!$C$80:$H$80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943-401A-B293-8C22E688B927}"/>
            </c:ext>
          </c:extLst>
        </c:ser>
        <c:dLbls>
          <c:showLegendKey val="0"/>
          <c:showVal val="0"/>
          <c:showCatName val="0"/>
          <c:showSerName val="0"/>
          <c:showPercent val="0"/>
          <c:showBubbleSize val="0"/>
        </c:dLbls>
        <c:gapWidth val="219"/>
        <c:overlap val="-27"/>
        <c:axId val="223692543"/>
        <c:axId val="223703103"/>
      </c:barChart>
      <c:catAx>
        <c:axId val="223692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23703103"/>
        <c:crosses val="autoZero"/>
        <c:auto val="1"/>
        <c:lblAlgn val="ctr"/>
        <c:lblOffset val="100"/>
        <c:noMultiLvlLbl val="0"/>
      </c:catAx>
      <c:valAx>
        <c:axId val="223703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236925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graafeihin'!$B$81</c:f>
              <c:strCache>
                <c:ptCount val="1"/>
                <c:pt idx="0">
                  <c:v>Nostettava osinko/yksityisotot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graafeihin'!$C$81:$H$81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48F-4E5D-A7C9-A166343E0812}"/>
            </c:ext>
          </c:extLst>
        </c:ser>
        <c:dLbls>
          <c:showLegendKey val="0"/>
          <c:showVal val="0"/>
          <c:showCatName val="0"/>
          <c:showSerName val="0"/>
          <c:showPercent val="0"/>
          <c:showBubbleSize val="0"/>
        </c:dLbls>
        <c:gapWidth val="219"/>
        <c:overlap val="-27"/>
        <c:axId val="223722783"/>
        <c:axId val="223718463"/>
      </c:barChart>
      <c:catAx>
        <c:axId val="223722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23718463"/>
        <c:crosses val="autoZero"/>
        <c:auto val="1"/>
        <c:lblAlgn val="ctr"/>
        <c:lblOffset val="100"/>
        <c:noMultiLvlLbl val="0"/>
      </c:catAx>
      <c:valAx>
        <c:axId val="223718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237227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graafeihin'!$B$5</c:f>
              <c:strCache>
                <c:ptCount val="1"/>
                <c:pt idx="0">
                  <c:v>Pääomantarve yhteensä</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graafeihin'!$C$5:$H$5</c:f>
              <c:numCache>
                <c:formatCode>#,##0</c:formatCode>
                <c:ptCount val="6"/>
                <c:pt idx="2">
                  <c:v>0</c:v>
                </c:pt>
                <c:pt idx="3">
                  <c:v>0</c:v>
                </c:pt>
                <c:pt idx="4">
                  <c:v>0</c:v>
                </c:pt>
                <c:pt idx="5">
                  <c:v>0</c:v>
                </c:pt>
              </c:numCache>
            </c:numRef>
          </c:val>
          <c:extLst>
            <c:ext xmlns:c16="http://schemas.microsoft.com/office/drawing/2014/chart" uri="{C3380CC4-5D6E-409C-BE32-E72D297353CC}">
              <c16:uniqueId val="{00000000-484E-4F33-B102-C6DCB8DE93D8}"/>
            </c:ext>
          </c:extLst>
        </c:ser>
        <c:dLbls>
          <c:showLegendKey val="0"/>
          <c:showVal val="0"/>
          <c:showCatName val="0"/>
          <c:showSerName val="0"/>
          <c:showPercent val="0"/>
          <c:showBubbleSize val="0"/>
        </c:dLbls>
        <c:gapWidth val="150"/>
        <c:axId val="247442847"/>
        <c:axId val="247439967"/>
      </c:barChart>
      <c:catAx>
        <c:axId val="247442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7439967"/>
        <c:crosses val="autoZero"/>
        <c:auto val="1"/>
        <c:lblAlgn val="ctr"/>
        <c:lblOffset val="100"/>
        <c:noMultiLvlLbl val="0"/>
      </c:catAx>
      <c:valAx>
        <c:axId val="2474399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7442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graafeihin'!$B$11</c:f>
              <c:strCache>
                <c:ptCount val="1"/>
                <c:pt idx="0">
                  <c:v>Käyttökate (EBITDA)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graafeihin'!$C$11:$H$11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9B8-4B4F-AA4D-6758DFDE30C3}"/>
            </c:ext>
          </c:extLst>
        </c:ser>
        <c:dLbls>
          <c:showLegendKey val="0"/>
          <c:showVal val="0"/>
          <c:showCatName val="0"/>
          <c:showSerName val="0"/>
          <c:showPercent val="0"/>
          <c:showBubbleSize val="0"/>
        </c:dLbls>
        <c:gapWidth val="219"/>
        <c:overlap val="-27"/>
        <c:axId val="1351123071"/>
        <c:axId val="1351125951"/>
      </c:barChart>
      <c:catAx>
        <c:axId val="135112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51125951"/>
        <c:crosses val="autoZero"/>
        <c:auto val="1"/>
        <c:lblAlgn val="ctr"/>
        <c:lblOffset val="100"/>
        <c:noMultiLvlLbl val="0"/>
      </c:catAx>
      <c:valAx>
        <c:axId val="13511259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511230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Rahoitus</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graafeihin'!$B$6</c:f>
              <c:strCache>
                <c:ptCount val="1"/>
                <c:pt idx="0">
                  <c:v>Oma rahoitus</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graafeihin'!$C$6:$H$6</c:f>
              <c:numCache>
                <c:formatCode>#,##0</c:formatCode>
                <c:ptCount val="6"/>
                <c:pt idx="2">
                  <c:v>0</c:v>
                </c:pt>
                <c:pt idx="3">
                  <c:v>0</c:v>
                </c:pt>
                <c:pt idx="4">
                  <c:v>0</c:v>
                </c:pt>
                <c:pt idx="5">
                  <c:v>0</c:v>
                </c:pt>
              </c:numCache>
            </c:numRef>
          </c:val>
          <c:extLst>
            <c:ext xmlns:c16="http://schemas.microsoft.com/office/drawing/2014/chart" uri="{C3380CC4-5D6E-409C-BE32-E72D297353CC}">
              <c16:uniqueId val="{00000000-6C83-4C36-9D7F-5F66CB7862FA}"/>
            </c:ext>
          </c:extLst>
        </c:ser>
        <c:ser>
          <c:idx val="1"/>
          <c:order val="1"/>
          <c:tx>
            <c:strRef>
              <c:f>'AT11 Data graafeihin'!$B$7</c:f>
              <c:strCache>
                <c:ptCount val="1"/>
                <c:pt idx="0">
                  <c:v>Vieras rahoitus</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graafeihin'!$C$7:$H$7</c:f>
              <c:numCache>
                <c:formatCode>#,##0</c:formatCode>
                <c:ptCount val="6"/>
                <c:pt idx="2">
                  <c:v>0</c:v>
                </c:pt>
                <c:pt idx="3">
                  <c:v>0</c:v>
                </c:pt>
                <c:pt idx="4">
                  <c:v>0</c:v>
                </c:pt>
                <c:pt idx="5">
                  <c:v>0</c:v>
                </c:pt>
              </c:numCache>
            </c:numRef>
          </c:val>
          <c:extLst>
            <c:ext xmlns:c16="http://schemas.microsoft.com/office/drawing/2014/chart" uri="{C3380CC4-5D6E-409C-BE32-E72D297353CC}">
              <c16:uniqueId val="{00000001-6C83-4C36-9D7F-5F66CB7862FA}"/>
            </c:ext>
          </c:extLst>
        </c:ser>
        <c:dLbls>
          <c:showLegendKey val="0"/>
          <c:showVal val="0"/>
          <c:showCatName val="0"/>
          <c:showSerName val="0"/>
          <c:showPercent val="0"/>
          <c:showBubbleSize val="0"/>
        </c:dLbls>
        <c:gapWidth val="150"/>
        <c:overlap val="100"/>
        <c:axId val="248866895"/>
        <c:axId val="248850575"/>
      </c:barChart>
      <c:catAx>
        <c:axId val="248866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8850575"/>
        <c:crosses val="autoZero"/>
        <c:auto val="1"/>
        <c:lblAlgn val="ctr"/>
        <c:lblOffset val="100"/>
        <c:noMultiLvlLbl val="0"/>
      </c:catAx>
      <c:valAx>
        <c:axId val="2488505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8866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graafeihin'!$B$31</c:f>
              <c:strCache>
                <c:ptCount val="1"/>
                <c:pt idx="0">
                  <c:v>Nykyisten pitkäaikaisten lainojen lyhennykset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graafeihin'!$C$31:$H$31</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0-A142-4F39-8229-05E1725EF851}"/>
            </c:ext>
          </c:extLst>
        </c:ser>
        <c:dLbls>
          <c:showLegendKey val="0"/>
          <c:showVal val="0"/>
          <c:showCatName val="0"/>
          <c:showSerName val="0"/>
          <c:showPercent val="0"/>
          <c:showBubbleSize val="0"/>
        </c:dLbls>
        <c:gapWidth val="219"/>
        <c:overlap val="-27"/>
        <c:axId val="248952335"/>
        <c:axId val="248952815"/>
      </c:barChart>
      <c:catAx>
        <c:axId val="24895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8952815"/>
        <c:crosses val="autoZero"/>
        <c:auto val="1"/>
        <c:lblAlgn val="ctr"/>
        <c:lblOffset val="100"/>
        <c:noMultiLvlLbl val="0"/>
      </c:catAx>
      <c:valAx>
        <c:axId val="248952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89523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graafeihin'!$B$32</c:f>
              <c:strCache>
                <c:ptCount val="1"/>
                <c:pt idx="0">
                  <c:v>Nykyisten pitkäaikaisten lainojen korot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graafeihin'!$C$32:$H$32</c:f>
              <c:numCache>
                <c:formatCode>#,##0</c:formatCode>
                <c:ptCount val="6"/>
                <c:pt idx="2">
                  <c:v>0</c:v>
                </c:pt>
                <c:pt idx="3">
                  <c:v>0</c:v>
                </c:pt>
                <c:pt idx="4">
                  <c:v>0</c:v>
                </c:pt>
                <c:pt idx="5">
                  <c:v>0</c:v>
                </c:pt>
              </c:numCache>
            </c:numRef>
          </c:val>
          <c:extLst>
            <c:ext xmlns:c16="http://schemas.microsoft.com/office/drawing/2014/chart" uri="{C3380CC4-5D6E-409C-BE32-E72D297353CC}">
              <c16:uniqueId val="{00000000-05B0-4F88-96E9-CA32B34374B3}"/>
            </c:ext>
          </c:extLst>
        </c:ser>
        <c:dLbls>
          <c:showLegendKey val="0"/>
          <c:showVal val="0"/>
          <c:showCatName val="0"/>
          <c:showSerName val="0"/>
          <c:showPercent val="0"/>
          <c:showBubbleSize val="0"/>
        </c:dLbls>
        <c:gapWidth val="219"/>
        <c:overlap val="-27"/>
        <c:axId val="214186191"/>
        <c:axId val="214202511"/>
      </c:barChart>
      <c:catAx>
        <c:axId val="214186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14202511"/>
        <c:crosses val="autoZero"/>
        <c:auto val="1"/>
        <c:lblAlgn val="ctr"/>
        <c:lblOffset val="100"/>
        <c:noMultiLvlLbl val="0"/>
      </c:catAx>
      <c:valAx>
        <c:axId val="2142025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141861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graafeihin'!$B$33</c:f>
              <c:strCache>
                <c:ptCount val="1"/>
                <c:pt idx="0">
                  <c:v>Uusien pitkäaikaisten lainojen nostot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graafeihin'!$C$33:$H$33</c:f>
              <c:numCache>
                <c:formatCode>#,##0</c:formatCode>
                <c:ptCount val="6"/>
                <c:pt idx="2">
                  <c:v>0</c:v>
                </c:pt>
                <c:pt idx="3">
                  <c:v>0</c:v>
                </c:pt>
                <c:pt idx="4">
                  <c:v>0</c:v>
                </c:pt>
                <c:pt idx="5">
                  <c:v>0</c:v>
                </c:pt>
              </c:numCache>
            </c:numRef>
          </c:val>
          <c:extLst>
            <c:ext xmlns:c16="http://schemas.microsoft.com/office/drawing/2014/chart" uri="{C3380CC4-5D6E-409C-BE32-E72D297353CC}">
              <c16:uniqueId val="{00000000-FFD0-4B09-BF46-57B90BECC2D9}"/>
            </c:ext>
          </c:extLst>
        </c:ser>
        <c:dLbls>
          <c:showLegendKey val="0"/>
          <c:showVal val="0"/>
          <c:showCatName val="0"/>
          <c:showSerName val="0"/>
          <c:showPercent val="0"/>
          <c:showBubbleSize val="0"/>
        </c:dLbls>
        <c:gapWidth val="219"/>
        <c:overlap val="-27"/>
        <c:axId val="248948015"/>
        <c:axId val="248958575"/>
      </c:barChart>
      <c:catAx>
        <c:axId val="24894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8958575"/>
        <c:crosses val="autoZero"/>
        <c:auto val="1"/>
        <c:lblAlgn val="ctr"/>
        <c:lblOffset val="100"/>
        <c:noMultiLvlLbl val="0"/>
      </c:catAx>
      <c:valAx>
        <c:axId val="2489585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489480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graafeihin'!$B$34</c:f>
              <c:strCache>
                <c:ptCount val="1"/>
                <c:pt idx="0">
                  <c:v>Uusien pitkäaikaisten lainojen lyhennykset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graafeihin'!$C$34:$H$34</c:f>
              <c:numCache>
                <c:formatCode>#,##0</c:formatCode>
                <c:ptCount val="6"/>
                <c:pt idx="2">
                  <c:v>0</c:v>
                </c:pt>
                <c:pt idx="3">
                  <c:v>0</c:v>
                </c:pt>
                <c:pt idx="4">
                  <c:v>0</c:v>
                </c:pt>
                <c:pt idx="5">
                  <c:v>0</c:v>
                </c:pt>
              </c:numCache>
            </c:numRef>
          </c:val>
          <c:extLst>
            <c:ext xmlns:c16="http://schemas.microsoft.com/office/drawing/2014/chart" uri="{C3380CC4-5D6E-409C-BE32-E72D297353CC}">
              <c16:uniqueId val="{00000000-10EB-4753-B32E-94080CDA3282}"/>
            </c:ext>
          </c:extLst>
        </c:ser>
        <c:dLbls>
          <c:showLegendKey val="0"/>
          <c:showVal val="0"/>
          <c:showCatName val="0"/>
          <c:showSerName val="0"/>
          <c:showPercent val="0"/>
          <c:showBubbleSize val="0"/>
        </c:dLbls>
        <c:gapWidth val="219"/>
        <c:overlap val="-27"/>
        <c:axId val="1067231296"/>
        <c:axId val="1067248096"/>
      </c:barChart>
      <c:catAx>
        <c:axId val="106723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248096"/>
        <c:crosses val="autoZero"/>
        <c:auto val="1"/>
        <c:lblAlgn val="ctr"/>
        <c:lblOffset val="100"/>
        <c:noMultiLvlLbl val="0"/>
      </c:catAx>
      <c:valAx>
        <c:axId val="106724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23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graafeihin'!$B$35</c:f>
              <c:strCache>
                <c:ptCount val="1"/>
                <c:pt idx="0">
                  <c:v>Uusien pitkäaikaisten lainojen korot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graafeihin'!$C$35:$H$35</c:f>
              <c:numCache>
                <c:formatCode>#,##0</c:formatCode>
                <c:ptCount val="6"/>
                <c:pt idx="2">
                  <c:v>0</c:v>
                </c:pt>
                <c:pt idx="3">
                  <c:v>0</c:v>
                </c:pt>
                <c:pt idx="4">
                  <c:v>0</c:v>
                </c:pt>
                <c:pt idx="5">
                  <c:v>0</c:v>
                </c:pt>
              </c:numCache>
            </c:numRef>
          </c:val>
          <c:extLst>
            <c:ext xmlns:c16="http://schemas.microsoft.com/office/drawing/2014/chart" uri="{C3380CC4-5D6E-409C-BE32-E72D297353CC}">
              <c16:uniqueId val="{00000000-8A93-4781-92F9-1D0AFF1F8D05}"/>
            </c:ext>
          </c:extLst>
        </c:ser>
        <c:dLbls>
          <c:showLegendKey val="0"/>
          <c:showVal val="0"/>
          <c:showCatName val="0"/>
          <c:showSerName val="0"/>
          <c:showPercent val="0"/>
          <c:showBubbleSize val="0"/>
        </c:dLbls>
        <c:gapWidth val="219"/>
        <c:overlap val="-27"/>
        <c:axId val="1067316736"/>
        <c:axId val="1067307616"/>
      </c:barChart>
      <c:catAx>
        <c:axId val="106731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307616"/>
        <c:crosses val="autoZero"/>
        <c:auto val="1"/>
        <c:lblAlgn val="ctr"/>
        <c:lblOffset val="100"/>
        <c:noMultiLvlLbl val="0"/>
      </c:catAx>
      <c:valAx>
        <c:axId val="1067307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31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graafeihin'!$B$37</c:f>
              <c:strCache>
                <c:ptCount val="1"/>
                <c:pt idx="0">
                  <c:v>Uusien osamaksuvelkojen lyhennykset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graafeihin'!$C$37:$H$37</c:f>
              <c:numCache>
                <c:formatCode>#,##0</c:formatCode>
                <c:ptCount val="6"/>
                <c:pt idx="2">
                  <c:v>0</c:v>
                </c:pt>
                <c:pt idx="3">
                  <c:v>0</c:v>
                </c:pt>
                <c:pt idx="4">
                  <c:v>0</c:v>
                </c:pt>
                <c:pt idx="5">
                  <c:v>0</c:v>
                </c:pt>
              </c:numCache>
            </c:numRef>
          </c:val>
          <c:extLst>
            <c:ext xmlns:c16="http://schemas.microsoft.com/office/drawing/2014/chart" uri="{C3380CC4-5D6E-409C-BE32-E72D297353CC}">
              <c16:uniqueId val="{00000000-7722-4868-8589-C9164362A45C}"/>
            </c:ext>
          </c:extLst>
        </c:ser>
        <c:dLbls>
          <c:showLegendKey val="0"/>
          <c:showVal val="0"/>
          <c:showCatName val="0"/>
          <c:showSerName val="0"/>
          <c:showPercent val="0"/>
          <c:showBubbleSize val="0"/>
        </c:dLbls>
        <c:gapWidth val="219"/>
        <c:overlap val="-27"/>
        <c:axId val="1067266336"/>
        <c:axId val="1067258176"/>
      </c:barChart>
      <c:catAx>
        <c:axId val="106726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258176"/>
        <c:crosses val="autoZero"/>
        <c:auto val="1"/>
        <c:lblAlgn val="ctr"/>
        <c:lblOffset val="100"/>
        <c:noMultiLvlLbl val="0"/>
      </c:catAx>
      <c:valAx>
        <c:axId val="106725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266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graafeihin'!$B$36</c:f>
              <c:strCache>
                <c:ptCount val="1"/>
                <c:pt idx="0">
                  <c:v>Uusien osamaksuvelkojen nostot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graafeihin'!$C$36:$H$36</c:f>
              <c:numCache>
                <c:formatCode>#,##0</c:formatCode>
                <c:ptCount val="6"/>
                <c:pt idx="2">
                  <c:v>0</c:v>
                </c:pt>
                <c:pt idx="3">
                  <c:v>0</c:v>
                </c:pt>
                <c:pt idx="4">
                  <c:v>0</c:v>
                </c:pt>
                <c:pt idx="5">
                  <c:v>0</c:v>
                </c:pt>
              </c:numCache>
            </c:numRef>
          </c:val>
          <c:extLst>
            <c:ext xmlns:c16="http://schemas.microsoft.com/office/drawing/2014/chart" uri="{C3380CC4-5D6E-409C-BE32-E72D297353CC}">
              <c16:uniqueId val="{00000000-6572-415C-A10F-678FD9A6DCCB}"/>
            </c:ext>
          </c:extLst>
        </c:ser>
        <c:dLbls>
          <c:showLegendKey val="0"/>
          <c:showVal val="0"/>
          <c:showCatName val="0"/>
          <c:showSerName val="0"/>
          <c:showPercent val="0"/>
          <c:showBubbleSize val="0"/>
        </c:dLbls>
        <c:gapWidth val="219"/>
        <c:overlap val="-27"/>
        <c:axId val="1067420416"/>
        <c:axId val="1067417536"/>
      </c:barChart>
      <c:catAx>
        <c:axId val="106742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417536"/>
        <c:crosses val="autoZero"/>
        <c:auto val="1"/>
        <c:lblAlgn val="ctr"/>
        <c:lblOffset val="100"/>
        <c:noMultiLvlLbl val="0"/>
      </c:catAx>
      <c:valAx>
        <c:axId val="1067417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42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graafeihin'!$B$38</c:f>
              <c:strCache>
                <c:ptCount val="1"/>
                <c:pt idx="0">
                  <c:v>Uusien osamaksuvelkojen korot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graafeihin'!$C$38:$H$38</c:f>
              <c:numCache>
                <c:formatCode>#,##0</c:formatCode>
                <c:ptCount val="6"/>
                <c:pt idx="2">
                  <c:v>0</c:v>
                </c:pt>
                <c:pt idx="3">
                  <c:v>0</c:v>
                </c:pt>
                <c:pt idx="4">
                  <c:v>0</c:v>
                </c:pt>
                <c:pt idx="5">
                  <c:v>0</c:v>
                </c:pt>
              </c:numCache>
            </c:numRef>
          </c:val>
          <c:extLst>
            <c:ext xmlns:c16="http://schemas.microsoft.com/office/drawing/2014/chart" uri="{C3380CC4-5D6E-409C-BE32-E72D297353CC}">
              <c16:uniqueId val="{00000000-FC9A-4097-B87D-4C40470393C8}"/>
            </c:ext>
          </c:extLst>
        </c:ser>
        <c:dLbls>
          <c:showLegendKey val="0"/>
          <c:showVal val="0"/>
          <c:showCatName val="0"/>
          <c:showSerName val="0"/>
          <c:showPercent val="0"/>
          <c:showBubbleSize val="0"/>
        </c:dLbls>
        <c:gapWidth val="219"/>
        <c:overlap val="-27"/>
        <c:axId val="1067294656"/>
        <c:axId val="1067296096"/>
      </c:barChart>
      <c:catAx>
        <c:axId val="106729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296096"/>
        <c:crosses val="autoZero"/>
        <c:auto val="1"/>
        <c:lblAlgn val="ctr"/>
        <c:lblOffset val="100"/>
        <c:noMultiLvlLbl val="0"/>
      </c:catAx>
      <c:valAx>
        <c:axId val="106729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29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graafeihin'!$B$30</c:f>
              <c:strCache>
                <c:ptCount val="1"/>
                <c:pt idx="0">
                  <c:v>Nykyiset pitkäaikaiset lainat kauden lopussa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graafeihin'!$C$30:$H$30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3D5-496D-AF36-D4234CEE49E2}"/>
            </c:ext>
          </c:extLst>
        </c:ser>
        <c:dLbls>
          <c:showLegendKey val="0"/>
          <c:showVal val="0"/>
          <c:showCatName val="0"/>
          <c:showSerName val="0"/>
          <c:showPercent val="0"/>
          <c:showBubbleSize val="0"/>
        </c:dLbls>
        <c:gapWidth val="219"/>
        <c:overlap val="-27"/>
        <c:axId val="759217871"/>
        <c:axId val="759221711"/>
      </c:barChart>
      <c:catAx>
        <c:axId val="759217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59221711"/>
        <c:crosses val="autoZero"/>
        <c:auto val="1"/>
        <c:lblAlgn val="ctr"/>
        <c:lblOffset val="100"/>
        <c:noMultiLvlLbl val="0"/>
      </c:catAx>
      <c:valAx>
        <c:axId val="7592217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592178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graafeihin'!$B$10</c:f>
              <c:strCache>
                <c:ptCount val="1"/>
                <c:pt idx="0">
                  <c:v>Liiketoiminnan tuotot yhteensä</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graafeihin'!$C$10:$H$10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F7D-474C-AC26-8634507BA03C}"/>
            </c:ext>
          </c:extLst>
        </c:ser>
        <c:dLbls>
          <c:showLegendKey val="0"/>
          <c:showVal val="0"/>
          <c:showCatName val="0"/>
          <c:showSerName val="0"/>
          <c:showPercent val="0"/>
          <c:showBubbleSize val="0"/>
        </c:dLbls>
        <c:gapWidth val="219"/>
        <c:overlap val="-27"/>
        <c:axId val="1382684719"/>
        <c:axId val="1382685199"/>
      </c:barChart>
      <c:catAx>
        <c:axId val="1382684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82685199"/>
        <c:crosses val="autoZero"/>
        <c:auto val="1"/>
        <c:lblAlgn val="ctr"/>
        <c:lblOffset val="100"/>
        <c:noMultiLvlLbl val="0"/>
      </c:catAx>
      <c:valAx>
        <c:axId val="1382685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826847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graafeihin'!$B$39</c:f>
              <c:strCache>
                <c:ptCount val="1"/>
                <c:pt idx="0">
                  <c:v>Lyhytaikaiset rahalaitoslainat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graafeihin'!$C$39:$H$39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6FE-4876-B166-4CCC648B0FDE}"/>
            </c:ext>
          </c:extLst>
        </c:ser>
        <c:dLbls>
          <c:showLegendKey val="0"/>
          <c:showVal val="0"/>
          <c:showCatName val="0"/>
          <c:showSerName val="0"/>
          <c:showPercent val="0"/>
          <c:showBubbleSize val="0"/>
        </c:dLbls>
        <c:gapWidth val="219"/>
        <c:overlap val="-27"/>
        <c:axId val="868371487"/>
        <c:axId val="868374847"/>
      </c:barChart>
      <c:catAx>
        <c:axId val="86837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68374847"/>
        <c:crosses val="autoZero"/>
        <c:auto val="1"/>
        <c:lblAlgn val="ctr"/>
        <c:lblOffset val="100"/>
        <c:noMultiLvlLbl val="0"/>
      </c:catAx>
      <c:valAx>
        <c:axId val="868374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683714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graafeihin'!$B$12</c:f>
              <c:strCache>
                <c:ptCount val="1"/>
                <c:pt idx="0">
                  <c:v>Liiketulos (EBIT)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graafeihin'!$C$12:$H$12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291-4121-A954-5FC6A5B6CD10}"/>
            </c:ext>
          </c:extLst>
        </c:ser>
        <c:dLbls>
          <c:showLegendKey val="0"/>
          <c:showVal val="0"/>
          <c:showCatName val="0"/>
          <c:showSerName val="0"/>
          <c:showPercent val="0"/>
          <c:showBubbleSize val="0"/>
        </c:dLbls>
        <c:gapWidth val="219"/>
        <c:overlap val="-27"/>
        <c:axId val="1579629552"/>
        <c:axId val="1579627152"/>
      </c:barChart>
      <c:catAx>
        <c:axId val="157962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9627152"/>
        <c:crosses val="autoZero"/>
        <c:auto val="1"/>
        <c:lblAlgn val="ctr"/>
        <c:lblOffset val="100"/>
        <c:noMultiLvlLbl val="0"/>
      </c:catAx>
      <c:valAx>
        <c:axId val="157962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962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graafeihin'!$B$13</c:f>
              <c:strCache>
                <c:ptCount val="1"/>
                <c:pt idx="0">
                  <c:v>Voitto (tappio) ennen tilinpäätössiirtoja ja veroja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graafeihin'!$C$13:$H$13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EE1-44D1-8CA9-5BA2CACCCDA3}"/>
            </c:ext>
          </c:extLst>
        </c:ser>
        <c:dLbls>
          <c:showLegendKey val="0"/>
          <c:showVal val="0"/>
          <c:showCatName val="0"/>
          <c:showSerName val="0"/>
          <c:showPercent val="0"/>
          <c:showBubbleSize val="0"/>
        </c:dLbls>
        <c:gapWidth val="219"/>
        <c:overlap val="-27"/>
        <c:axId val="1350469359"/>
        <c:axId val="1350471759"/>
      </c:barChart>
      <c:catAx>
        <c:axId val="1350469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50471759"/>
        <c:crosses val="autoZero"/>
        <c:auto val="1"/>
        <c:lblAlgn val="ctr"/>
        <c:lblOffset val="100"/>
        <c:noMultiLvlLbl val="0"/>
      </c:catAx>
      <c:valAx>
        <c:axId val="1350471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3504693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'AT11 Data graafeihin'!$B$14</c:f>
              <c:strCache>
                <c:ptCount val="1"/>
                <c:pt idx="0">
                  <c:v>Tilikauden voitto (tappio)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graafeihin'!$C$14:$H$14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CAB-40BD-82D6-206083C583A0}"/>
            </c:ext>
          </c:extLst>
        </c:ser>
        <c:dLbls>
          <c:showLegendKey val="0"/>
          <c:showVal val="0"/>
          <c:showCatName val="0"/>
          <c:showSerName val="0"/>
          <c:showPercent val="0"/>
          <c:showBubbleSize val="0"/>
        </c:dLbls>
        <c:gapWidth val="219"/>
        <c:overlap val="-27"/>
        <c:axId val="1552482960"/>
        <c:axId val="1552484400"/>
      </c:barChart>
      <c:catAx>
        <c:axId val="155248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52484400"/>
        <c:crosses val="autoZero"/>
        <c:auto val="1"/>
        <c:lblAlgn val="ctr"/>
        <c:lblOffset val="100"/>
        <c:noMultiLvlLbl val="0"/>
      </c:catAx>
      <c:valAx>
        <c:axId val="1552484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5248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Tase: pysyvät vastaavat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0"/>
          <c:order val="0"/>
          <c:tx>
            <c:strRef>
              <c:f>'AT11 Data graafeihin'!$B$17</c:f>
              <c:strCache>
                <c:ptCount val="1"/>
                <c:pt idx="0">
                  <c:v>Aineettomat hyödykkeet</c:v>
                </c:pt>
              </c:strCache>
            </c:strRef>
          </c:tx>
          <c:spPr>
            <a:solidFill>
              <a:schemeClr val="accent2">
                <a:lumMod val="60000"/>
                <a:lumOff val="4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graafeihin'!$C$17:$H$17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664-4DE6-9CE6-02065416C85F}"/>
            </c:ext>
          </c:extLst>
        </c:ser>
        <c:ser>
          <c:idx val="1"/>
          <c:order val="1"/>
          <c:tx>
            <c:strRef>
              <c:f>'AT11 Data graafeihin'!$B$18</c:f>
              <c:strCache>
                <c:ptCount val="1"/>
                <c:pt idx="0">
                  <c:v>Aineelliset hyödykkeet</c:v>
                </c:pt>
              </c:strCache>
            </c:strRef>
          </c:tx>
          <c:spPr>
            <a:solidFill>
              <a:schemeClr val="bg1">
                <a:lumMod val="65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graafeihin'!$C$18:$H$18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664-4DE6-9CE6-02065416C85F}"/>
            </c:ext>
          </c:extLst>
        </c:ser>
        <c:ser>
          <c:idx val="2"/>
          <c:order val="2"/>
          <c:tx>
            <c:strRef>
              <c:f>'AT11 Data graafeihin'!$B$19</c:f>
              <c:strCache>
                <c:ptCount val="1"/>
                <c:pt idx="0">
                  <c:v>Sijoitukset</c:v>
                </c:pt>
              </c:strCache>
            </c:strRef>
          </c:tx>
          <c:spPr>
            <a:solidFill>
              <a:schemeClr val="accent5">
                <a:lumMod val="40000"/>
                <a:lumOff val="60000"/>
              </a:schemeClr>
            </a:solidFill>
            <a:ln>
              <a:noFill/>
            </a:ln>
            <a:effectLst/>
          </c:spPr>
          <c:invertIfNegative val="0"/>
          <c:cat>
            <c:numRef>
              <c:f>'AT11 Data graafeihin'!$C$4:$H$4</c:f>
              <c:numCache>
                <c:formatCode>General</c:formatCode>
                <c:ptCount val="6"/>
                <c:pt idx="0">
                  <c:v>2024</c:v>
                </c:pt>
                <c:pt idx="1">
                  <c:v>2025</c:v>
                </c:pt>
                <c:pt idx="2">
                  <c:v>2026</c:v>
                </c:pt>
                <c:pt idx="3">
                  <c:v>2027</c:v>
                </c:pt>
                <c:pt idx="4">
                  <c:v>2028</c:v>
                </c:pt>
                <c:pt idx="5">
                  <c:v>2029</c:v>
                </c:pt>
              </c:numCache>
            </c:numRef>
          </c:cat>
          <c:val>
            <c:numRef>
              <c:f>'AT11 Data graafeihin'!$C$19:$H$19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664-4DE6-9CE6-02065416C85F}"/>
            </c:ext>
          </c:extLst>
        </c:ser>
        <c:dLbls>
          <c:showLegendKey val="0"/>
          <c:showVal val="0"/>
          <c:showCatName val="0"/>
          <c:showSerName val="0"/>
          <c:showPercent val="0"/>
          <c:showBubbleSize val="0"/>
        </c:dLbls>
        <c:gapWidth val="150"/>
        <c:overlap val="100"/>
        <c:axId val="164333344"/>
        <c:axId val="164336224"/>
      </c:barChart>
      <c:catAx>
        <c:axId val="16433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4336224"/>
        <c:crosses val="autoZero"/>
        <c:auto val="1"/>
        <c:lblAlgn val="ctr"/>
        <c:lblOffset val="100"/>
        <c:noMultiLvlLbl val="0"/>
      </c:catAx>
      <c:valAx>
        <c:axId val="164336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4333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9" Type="http://schemas.openxmlformats.org/officeDocument/2006/relationships/chart" Target="../charts/chart41.xml"/><Relationship Id="rId21" Type="http://schemas.openxmlformats.org/officeDocument/2006/relationships/chart" Target="../charts/chart23.xml"/><Relationship Id="rId34" Type="http://schemas.openxmlformats.org/officeDocument/2006/relationships/chart" Target="../charts/chart36.xml"/><Relationship Id="rId42" Type="http://schemas.openxmlformats.org/officeDocument/2006/relationships/hyperlink" Target="#'1 INVESTOINTISUUNNITELMA'!A1"/><Relationship Id="rId47" Type="http://schemas.openxmlformats.org/officeDocument/2006/relationships/hyperlink" Target="#'2 &amp; 7 TULOSSUUNNITELMA'!A1"/><Relationship Id="rId50" Type="http://schemas.openxmlformats.org/officeDocument/2006/relationships/hyperlink" Target="#'10 YHTEENVETO'!A1"/><Relationship Id="rId55" Type="http://schemas.openxmlformats.org/officeDocument/2006/relationships/chart" Target="../charts/chart47.xml"/><Relationship Id="rId7" Type="http://schemas.openxmlformats.org/officeDocument/2006/relationships/chart" Target="../charts/chart9.xml"/><Relationship Id="rId2" Type="http://schemas.openxmlformats.org/officeDocument/2006/relationships/chart" Target="../charts/chart4.xml"/><Relationship Id="rId16" Type="http://schemas.openxmlformats.org/officeDocument/2006/relationships/chart" Target="../charts/chart18.xml"/><Relationship Id="rId29" Type="http://schemas.openxmlformats.org/officeDocument/2006/relationships/chart" Target="../charts/chart31.xml"/><Relationship Id="rId11" Type="http://schemas.openxmlformats.org/officeDocument/2006/relationships/chart" Target="../charts/chart13.xml"/><Relationship Id="rId24" Type="http://schemas.openxmlformats.org/officeDocument/2006/relationships/chart" Target="../charts/chart26.xml"/><Relationship Id="rId32" Type="http://schemas.openxmlformats.org/officeDocument/2006/relationships/chart" Target="../charts/chart34.xml"/><Relationship Id="rId37" Type="http://schemas.openxmlformats.org/officeDocument/2006/relationships/chart" Target="../charts/chart39.xml"/><Relationship Id="rId40" Type="http://schemas.openxmlformats.org/officeDocument/2006/relationships/chart" Target="../charts/chart42.xml"/><Relationship Id="rId45" Type="http://schemas.openxmlformats.org/officeDocument/2006/relationships/hyperlink" Target="#'5 KUSTANNUKSET'!A1"/><Relationship Id="rId53" Type="http://schemas.openxmlformats.org/officeDocument/2006/relationships/chart" Target="../charts/chart45.xml"/><Relationship Id="rId58" Type="http://schemas.openxmlformats.org/officeDocument/2006/relationships/chart" Target="../charts/chart50.xml"/><Relationship Id="rId5" Type="http://schemas.openxmlformats.org/officeDocument/2006/relationships/chart" Target="../charts/chart7.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 Id="rId30" Type="http://schemas.openxmlformats.org/officeDocument/2006/relationships/chart" Target="../charts/chart32.xml"/><Relationship Id="rId35" Type="http://schemas.openxmlformats.org/officeDocument/2006/relationships/chart" Target="../charts/chart37.xml"/><Relationship Id="rId43" Type="http://schemas.openxmlformats.org/officeDocument/2006/relationships/hyperlink" Target="#'3 TASE'!A1"/><Relationship Id="rId48" Type="http://schemas.openxmlformats.org/officeDocument/2006/relationships/hyperlink" Target="#'8 RAHOITUSSUUNNITELMA'!A1"/><Relationship Id="rId56" Type="http://schemas.openxmlformats.org/officeDocument/2006/relationships/chart" Target="../charts/chart48.xml"/><Relationship Id="rId8" Type="http://schemas.openxmlformats.org/officeDocument/2006/relationships/chart" Target="../charts/chart10.xml"/><Relationship Id="rId51" Type="http://schemas.openxmlformats.org/officeDocument/2006/relationships/hyperlink" Target="#'11 GRAAFIT'!A1"/><Relationship Id="rId3" Type="http://schemas.openxmlformats.org/officeDocument/2006/relationships/chart" Target="../charts/chart5.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33" Type="http://schemas.openxmlformats.org/officeDocument/2006/relationships/chart" Target="../charts/chart35.xml"/><Relationship Id="rId38" Type="http://schemas.openxmlformats.org/officeDocument/2006/relationships/chart" Target="../charts/chart40.xml"/><Relationship Id="rId46" Type="http://schemas.openxmlformats.org/officeDocument/2006/relationships/hyperlink" Target="#'6 LIIKEVAIHTO'!A1"/><Relationship Id="rId20" Type="http://schemas.openxmlformats.org/officeDocument/2006/relationships/chart" Target="../charts/chart22.xml"/><Relationship Id="rId41" Type="http://schemas.openxmlformats.org/officeDocument/2006/relationships/chart" Target="../charts/chart43.xml"/><Relationship Id="rId54" Type="http://schemas.openxmlformats.org/officeDocument/2006/relationships/chart" Target="../charts/chart46.xml"/><Relationship Id="rId1" Type="http://schemas.openxmlformats.org/officeDocument/2006/relationships/chart" Target="../charts/chart3.xml"/><Relationship Id="rId6" Type="http://schemas.openxmlformats.org/officeDocument/2006/relationships/chart" Target="../charts/chart8.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36" Type="http://schemas.openxmlformats.org/officeDocument/2006/relationships/chart" Target="../charts/chart38.xml"/><Relationship Id="rId49" Type="http://schemas.openxmlformats.org/officeDocument/2006/relationships/hyperlink" Target="#'9 KASSABUDJETTI'!A1"/><Relationship Id="rId57" Type="http://schemas.openxmlformats.org/officeDocument/2006/relationships/chart" Target="../charts/chart49.xml"/><Relationship Id="rId10" Type="http://schemas.openxmlformats.org/officeDocument/2006/relationships/chart" Target="../charts/chart12.xml"/><Relationship Id="rId31" Type="http://schemas.openxmlformats.org/officeDocument/2006/relationships/chart" Target="../charts/chart33.xml"/><Relationship Id="rId44" Type="http://schemas.openxmlformats.org/officeDocument/2006/relationships/hyperlink" Target="#'4 LAINAT'!A1"/><Relationship Id="rId52"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3.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4.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5.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6.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7.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8.xml.rels><?xml version="1.0" encoding="UTF-8" standalone="yes"?>
<Relationships xmlns="http://schemas.openxmlformats.org/package/2006/relationships"><Relationship Id="rId8" Type="http://schemas.openxmlformats.org/officeDocument/2006/relationships/hyperlink" Target="#'9 KASSABUDJETTI'!A1"/><Relationship Id="rId3" Type="http://schemas.openxmlformats.org/officeDocument/2006/relationships/hyperlink" Target="#'4 LAINAT'!A1"/><Relationship Id="rId7" Type="http://schemas.openxmlformats.org/officeDocument/2006/relationships/hyperlink" Target="#'8 RAHOITUSSUUNNITELMA'!A1"/><Relationship Id="rId2" Type="http://schemas.openxmlformats.org/officeDocument/2006/relationships/hyperlink" Target="#'3 TASE'!A1"/><Relationship Id="rId1" Type="http://schemas.openxmlformats.org/officeDocument/2006/relationships/hyperlink" Target="#'1 INVESTOINTISUUNNITELMA'!A1"/><Relationship Id="rId6" Type="http://schemas.openxmlformats.org/officeDocument/2006/relationships/hyperlink" Target="#'2 &amp; 7 TULOSSUUNNITELMA'!A1"/><Relationship Id="rId5" Type="http://schemas.openxmlformats.org/officeDocument/2006/relationships/hyperlink" Target="#'6 LIIKEVAIHTO'!A1"/><Relationship Id="rId10" Type="http://schemas.openxmlformats.org/officeDocument/2006/relationships/hyperlink" Target="#'11 GRAAFIT'!A1"/><Relationship Id="rId4" Type="http://schemas.openxmlformats.org/officeDocument/2006/relationships/hyperlink" Target="#'5 KUSTANNUKSET'!A1"/><Relationship Id="rId9" Type="http://schemas.openxmlformats.org/officeDocument/2006/relationships/hyperlink" Target="#'10 YHTEENVETO'!A1"/></Relationships>
</file>

<file path=xl/drawings/_rels/drawing9.xml.rels><?xml version="1.0" encoding="UTF-8" standalone="yes"?>
<Relationships xmlns="http://schemas.openxmlformats.org/package/2006/relationships"><Relationship Id="rId8" Type="http://schemas.openxmlformats.org/officeDocument/2006/relationships/hyperlink" Target="#'8 RAHOITUSSUUNNITELMA'!A1"/><Relationship Id="rId3" Type="http://schemas.openxmlformats.org/officeDocument/2006/relationships/hyperlink" Target="#'3 TASE'!A1"/><Relationship Id="rId7" Type="http://schemas.openxmlformats.org/officeDocument/2006/relationships/hyperlink" Target="#'2 &amp; 7 TULOSSUUNNITELMA'!A1"/><Relationship Id="rId12" Type="http://schemas.openxmlformats.org/officeDocument/2006/relationships/hyperlink" Target="#'11 GRAAFIT'!A1"/><Relationship Id="rId2" Type="http://schemas.openxmlformats.org/officeDocument/2006/relationships/hyperlink" Target="#'1 INVESTOINTISUUNNITELMA'!A1"/><Relationship Id="rId1" Type="http://schemas.openxmlformats.org/officeDocument/2006/relationships/chart" Target="../charts/chart1.xml"/><Relationship Id="rId6" Type="http://schemas.openxmlformats.org/officeDocument/2006/relationships/hyperlink" Target="#'6 LIIKEVAIHTO'!A1"/><Relationship Id="rId11" Type="http://schemas.openxmlformats.org/officeDocument/2006/relationships/hyperlink" Target="#'10 YHTEENVETO'!A1"/><Relationship Id="rId5" Type="http://schemas.openxmlformats.org/officeDocument/2006/relationships/hyperlink" Target="#'5 KUSTANNUKSET'!A1"/><Relationship Id="rId10" Type="http://schemas.openxmlformats.org/officeDocument/2006/relationships/chart" Target="../charts/chart2.xml"/><Relationship Id="rId4" Type="http://schemas.openxmlformats.org/officeDocument/2006/relationships/hyperlink" Target="#'4 LAINAT'!A1"/><Relationship Id="rId9" Type="http://schemas.openxmlformats.org/officeDocument/2006/relationships/hyperlink" Target="#'9 KASSABUDJETTI'!A1"/></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5</xdr:row>
      <xdr:rowOff>28576</xdr:rowOff>
    </xdr:from>
    <xdr:to>
      <xdr:col>14</xdr:col>
      <xdr:colOff>297728</xdr:colOff>
      <xdr:row>32</xdr:row>
      <xdr:rowOff>171450</xdr:rowOff>
    </xdr:to>
    <xdr:pic>
      <xdr:nvPicPr>
        <xdr:cNvPr id="3" name="Kuva 2">
          <a:extLst>
            <a:ext uri="{FF2B5EF4-FFF2-40B4-BE49-F238E27FC236}">
              <a16:creationId xmlns:a16="http://schemas.microsoft.com/office/drawing/2014/main" id="{8B847459-5108-01EA-6C46-4C499C003AE7}"/>
            </a:ext>
          </a:extLst>
        </xdr:cNvPr>
        <xdr:cNvPicPr>
          <a:picLocks noChangeAspect="1"/>
        </xdr:cNvPicPr>
      </xdr:nvPicPr>
      <xdr:blipFill>
        <a:blip xmlns:r="http://schemas.openxmlformats.org/officeDocument/2006/relationships" r:embed="rId1"/>
        <a:stretch>
          <a:fillRect/>
        </a:stretch>
      </xdr:blipFill>
      <xdr:spPr>
        <a:xfrm>
          <a:off x="295275" y="1066801"/>
          <a:ext cx="8108228" cy="5286374"/>
        </a:xfrm>
        <a:prstGeom prst="rect">
          <a:avLst/>
        </a:prstGeom>
      </xdr:spPr>
    </xdr:pic>
    <xdr:clientData/>
  </xdr:twoCellAnchor>
  <xdr:twoCellAnchor>
    <xdr:from>
      <xdr:col>1</xdr:col>
      <xdr:colOff>114300</xdr:colOff>
      <xdr:row>5</xdr:row>
      <xdr:rowOff>19049</xdr:rowOff>
    </xdr:from>
    <xdr:to>
      <xdr:col>14</xdr:col>
      <xdr:colOff>285750</xdr:colOff>
      <xdr:row>32</xdr:row>
      <xdr:rowOff>161924</xdr:rowOff>
    </xdr:to>
    <xdr:sp macro="" textlink="">
      <xdr:nvSpPr>
        <xdr:cNvPr id="8" name="Tekstiruutu 7">
          <a:extLst>
            <a:ext uri="{FF2B5EF4-FFF2-40B4-BE49-F238E27FC236}">
              <a16:creationId xmlns:a16="http://schemas.microsoft.com/office/drawing/2014/main" id="{1298CE68-CBD6-4D8F-A805-45094DD677B9}"/>
            </a:ext>
          </a:extLst>
        </xdr:cNvPr>
        <xdr:cNvSpPr txBox="1"/>
      </xdr:nvSpPr>
      <xdr:spPr>
        <a:xfrm>
          <a:off x="295275" y="1057274"/>
          <a:ext cx="8096250" cy="5286375"/>
        </a:xfrm>
        <a:prstGeom prst="rect">
          <a:avLst/>
        </a:prstGeom>
        <a:solidFill>
          <a:schemeClr val="lt1">
            <a:alpha val="27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solidFill>
                <a:schemeClr val="bg1"/>
              </a:solidFill>
            </a:rPr>
            <a:t>Talousmalli</a:t>
          </a:r>
        </a:p>
        <a:p>
          <a:endParaRPr lang="fi-FI" sz="1100">
            <a:solidFill>
              <a:schemeClr val="bg1"/>
            </a:solidFill>
          </a:endParaRPr>
        </a:p>
        <a:p>
          <a:r>
            <a:rPr lang="fi-FI" sz="1100">
              <a:solidFill>
                <a:schemeClr val="bg1"/>
              </a:solidFill>
            </a:rPr>
            <a:t>Talousmallin tarkoituksena on tukea vastuullisen metsästysmatkailun edellytysten tarkastelua taloudellisesta</a:t>
          </a:r>
          <a:r>
            <a:rPr lang="fi-FI" sz="1100" baseline="0">
              <a:solidFill>
                <a:schemeClr val="bg1"/>
              </a:solidFill>
            </a:rPr>
            <a:t> näkökulmasta sekä tuoda käyttäjälle näkyväksi toiminnan taloudellisia näkökulmia.</a:t>
          </a:r>
        </a:p>
        <a:p>
          <a:endParaRPr lang="fi-FI" sz="1100" baseline="0">
            <a:solidFill>
              <a:schemeClr val="bg1"/>
            </a:solidFill>
          </a:endParaRPr>
        </a:p>
        <a:p>
          <a:r>
            <a:rPr lang="fi-FI" sz="1100" baseline="0">
              <a:solidFill>
                <a:schemeClr val="bg1"/>
              </a:solidFill>
            </a:rPr>
            <a:t>Talousmalli tukee vastuullisen metsästysmatkailun suunnittelua ja ennustamista erilaisten talouden osa-alueiden tarkastelun avulla.</a:t>
          </a:r>
        </a:p>
        <a:p>
          <a:endParaRPr lang="fi-FI" sz="1100" baseline="0">
            <a:solidFill>
              <a:schemeClr val="bg1"/>
            </a:solidFill>
          </a:endParaRPr>
        </a:p>
        <a:p>
          <a:r>
            <a:rPr lang="fi-FI" sz="1100">
              <a:solidFill>
                <a:schemeClr val="bg1"/>
              </a:solidFill>
            </a:rPr>
            <a:t>Talousmalli sisältää seuraavat laajemmat osa-alueet:</a:t>
          </a:r>
        </a:p>
        <a:p>
          <a:r>
            <a:rPr lang="fi-FI" sz="1100">
              <a:solidFill>
                <a:schemeClr val="bg1"/>
              </a:solidFill>
            </a:rPr>
            <a:t>- Hinnoittelu (tämä on erillinen mallipohja, jolla voit tarkastella palvelusi hinnoittelua)</a:t>
          </a:r>
        </a:p>
        <a:p>
          <a:r>
            <a:rPr lang="fi-FI" sz="1100">
              <a:solidFill>
                <a:schemeClr val="bg1"/>
              </a:solidFill>
            </a:rPr>
            <a:t>-</a:t>
          </a:r>
          <a:r>
            <a:rPr lang="fi-FI" sz="1100" baseline="0">
              <a:solidFill>
                <a:schemeClr val="bg1"/>
              </a:solidFill>
            </a:rPr>
            <a:t> 1 Investointisuunnitelma</a:t>
          </a:r>
        </a:p>
        <a:p>
          <a:r>
            <a:rPr lang="fi-FI" sz="1100" baseline="0">
              <a:solidFill>
                <a:schemeClr val="bg1"/>
              </a:solidFill>
            </a:rPr>
            <a:t>- 2 &amp; 7 Tulossuunnitelma</a:t>
          </a:r>
        </a:p>
        <a:p>
          <a:r>
            <a:rPr lang="fi-FI" sz="1100" baseline="0">
              <a:solidFill>
                <a:schemeClr val="bg1"/>
              </a:solidFill>
            </a:rPr>
            <a:t>- 3 Tase</a:t>
          </a:r>
        </a:p>
        <a:p>
          <a:r>
            <a:rPr lang="fi-FI" sz="1100" baseline="0">
              <a:solidFill>
                <a:schemeClr val="bg1"/>
              </a:solidFill>
            </a:rPr>
            <a:t>- 4 Lainat</a:t>
          </a:r>
        </a:p>
        <a:p>
          <a:r>
            <a:rPr lang="fi-FI" sz="1100" baseline="0">
              <a:solidFill>
                <a:schemeClr val="bg1"/>
              </a:solidFill>
            </a:rPr>
            <a:t>- 5 Kustannukset</a:t>
          </a:r>
        </a:p>
        <a:p>
          <a:r>
            <a:rPr lang="fi-FI" sz="1100" baseline="0">
              <a:solidFill>
                <a:schemeClr val="bg1"/>
              </a:solidFill>
            </a:rPr>
            <a:t>- 6 Liikevaihto</a:t>
          </a:r>
        </a:p>
        <a:p>
          <a:r>
            <a:rPr lang="fi-FI" sz="1100" baseline="0">
              <a:solidFill>
                <a:schemeClr val="bg1"/>
              </a:solidFill>
            </a:rPr>
            <a:t>- 8 Rahoitussuunnitelma</a:t>
          </a:r>
        </a:p>
        <a:p>
          <a:r>
            <a:rPr lang="fi-FI" sz="1100" baseline="0">
              <a:solidFill>
                <a:schemeClr val="bg1"/>
              </a:solidFill>
            </a:rPr>
            <a:t>- 9 Kassabudjetti</a:t>
          </a:r>
        </a:p>
        <a:p>
          <a:r>
            <a:rPr lang="fi-FI" sz="1100" baseline="0">
              <a:solidFill>
                <a:schemeClr val="bg1"/>
              </a:solidFill>
            </a:rPr>
            <a:t>- 10 Yhteenveto</a:t>
          </a:r>
        </a:p>
        <a:p>
          <a:r>
            <a:rPr lang="fi-FI" sz="1100" baseline="0">
              <a:solidFill>
                <a:schemeClr val="bg1"/>
              </a:solidFill>
            </a:rPr>
            <a:t>- 11 Graafit</a:t>
          </a:r>
        </a:p>
        <a:p>
          <a:endParaRPr lang="fi-FI" sz="1100" baseline="0">
            <a:solidFill>
              <a:schemeClr val="bg1"/>
            </a:solidFill>
          </a:endParaRPr>
        </a:p>
        <a:p>
          <a:r>
            <a:rPr lang="fi-FI" sz="1100" baseline="0">
              <a:solidFill>
                <a:schemeClr val="bg1"/>
              </a:solidFill>
            </a:rPr>
            <a:t>Välilehdet sisältävät ohjeet taulukoiden täyttämiseen, ja ne ovat sisällytetty välilehtien soluihin.</a:t>
          </a:r>
        </a:p>
        <a:p>
          <a:endParaRPr lang="fi-FI" sz="1100" baseline="0">
            <a:solidFill>
              <a:schemeClr val="bg1"/>
            </a:solidFill>
          </a:endParaRPr>
        </a:p>
        <a:p>
          <a:r>
            <a:rPr lang="fi-FI" sz="1100" baseline="0">
              <a:solidFill>
                <a:schemeClr val="bg1"/>
              </a:solidFill>
            </a:rPr>
            <a:t>Välilehdillä voit täyttää vaaleansinisellä pohjavärillä korostettuja soluja, muut solut ovat tarkoituksella lukittuja. Talousmalli laskee muiden solujen arvot automaattisesti.</a:t>
          </a:r>
        </a:p>
        <a:p>
          <a:endParaRPr lang="fi-FI" sz="1100" baseline="0">
            <a:solidFill>
              <a:schemeClr val="bg1"/>
            </a:solidFill>
          </a:endParaRPr>
        </a:p>
        <a:p>
          <a:r>
            <a:rPr lang="fi-FI" sz="1100" baseline="0">
              <a:solidFill>
                <a:schemeClr val="bg1"/>
              </a:solidFill>
            </a:rPr>
            <a:t>TÄYTÄ VÄLILEHDET NUMEROJÄRJESTYKSESSÄ. Voit liikkua välilehtien välillä niiden vasemmassa laidassa olevien numeropainikkeiden avulla.</a:t>
          </a:r>
        </a:p>
        <a:p>
          <a:endParaRPr lang="fi-FI" sz="1100" baseline="0">
            <a:solidFill>
              <a:schemeClr val="bg1"/>
            </a:solidFill>
          </a:endParaRPr>
        </a:p>
        <a:p>
          <a:r>
            <a:rPr lang="fi-FI" sz="1100" baseline="0">
              <a:solidFill>
                <a:schemeClr val="bg1"/>
              </a:solidFill>
            </a:rPr>
            <a:t>Talousmallin on tuottanut Jyväskylän ammattikorkeakoulu Maa- ja metsätalousministeriön rahoituksella.</a:t>
          </a:r>
          <a:endParaRPr lang="fi-FI" sz="1100">
            <a:solidFill>
              <a:schemeClr val="bg1"/>
            </a:solidFill>
          </a:endParaRPr>
        </a:p>
      </xdr:txBody>
    </xdr:sp>
    <xdr:clientData/>
  </xdr:twoCellAnchor>
  <xdr:twoCellAnchor editAs="oneCell">
    <xdr:from>
      <xdr:col>5</xdr:col>
      <xdr:colOff>419101</xdr:colOff>
      <xdr:row>0</xdr:row>
      <xdr:rowOff>0</xdr:rowOff>
    </xdr:from>
    <xdr:to>
      <xdr:col>8</xdr:col>
      <xdr:colOff>49119</xdr:colOff>
      <xdr:row>4</xdr:row>
      <xdr:rowOff>178893</xdr:rowOff>
    </xdr:to>
    <xdr:pic>
      <xdr:nvPicPr>
        <xdr:cNvPr id="2" name="Kuva 4">
          <a:extLst>
            <a:ext uri="{FF2B5EF4-FFF2-40B4-BE49-F238E27FC236}">
              <a16:creationId xmlns:a16="http://schemas.microsoft.com/office/drawing/2014/main" id="{0E29466C-6E71-443A-805C-DBCE0B1CC739}"/>
            </a:ext>
          </a:extLst>
        </xdr:cNvPr>
        <xdr:cNvPicPr>
          <a:picLocks noChangeAspect="1"/>
        </xdr:cNvPicPr>
      </xdr:nvPicPr>
      <xdr:blipFill>
        <a:blip xmlns:r="http://schemas.openxmlformats.org/officeDocument/2006/relationships" r:embed="rId2"/>
        <a:stretch>
          <a:fillRect/>
        </a:stretch>
      </xdr:blipFill>
      <xdr:spPr>
        <a:xfrm>
          <a:off x="3038476" y="0"/>
          <a:ext cx="1458818" cy="1026618"/>
        </a:xfrm>
        <a:prstGeom prst="rect">
          <a:avLst/>
        </a:prstGeom>
      </xdr:spPr>
    </xdr:pic>
    <xdr:clientData/>
  </xdr:twoCellAnchor>
  <xdr:twoCellAnchor editAs="oneCell">
    <xdr:from>
      <xdr:col>8</xdr:col>
      <xdr:colOff>171450</xdr:colOff>
      <xdr:row>1</xdr:row>
      <xdr:rowOff>133350</xdr:rowOff>
    </xdr:from>
    <xdr:to>
      <xdr:col>11</xdr:col>
      <xdr:colOff>74213</xdr:colOff>
      <xdr:row>3</xdr:row>
      <xdr:rowOff>48787</xdr:rowOff>
    </xdr:to>
    <xdr:pic>
      <xdr:nvPicPr>
        <xdr:cNvPr id="10" name="Kuva 3">
          <a:extLst>
            <a:ext uri="{FF2B5EF4-FFF2-40B4-BE49-F238E27FC236}">
              <a16:creationId xmlns:a16="http://schemas.microsoft.com/office/drawing/2014/main" id="{13757F88-3A32-477A-8EA0-5BA5A08BB0F7}"/>
            </a:ext>
          </a:extLst>
        </xdr:cNvPr>
        <xdr:cNvPicPr>
          <a:picLocks noChangeAspect="1"/>
        </xdr:cNvPicPr>
      </xdr:nvPicPr>
      <xdr:blipFill>
        <a:blip xmlns:r="http://schemas.openxmlformats.org/officeDocument/2006/relationships" r:embed="rId3"/>
        <a:stretch>
          <a:fillRect/>
        </a:stretch>
      </xdr:blipFill>
      <xdr:spPr>
        <a:xfrm>
          <a:off x="4619625" y="323850"/>
          <a:ext cx="1731563" cy="382162"/>
        </a:xfrm>
        <a:prstGeom prst="rect">
          <a:avLst/>
        </a:prstGeom>
      </xdr:spPr>
    </xdr:pic>
    <xdr:clientData/>
  </xdr:twoCellAnchor>
  <xdr:twoCellAnchor editAs="oneCell">
    <xdr:from>
      <xdr:col>11</xdr:col>
      <xdr:colOff>228600</xdr:colOff>
      <xdr:row>1</xdr:row>
      <xdr:rowOff>133351</xdr:rowOff>
    </xdr:from>
    <xdr:to>
      <xdr:col>14</xdr:col>
      <xdr:colOff>295275</xdr:colOff>
      <xdr:row>3</xdr:row>
      <xdr:rowOff>9736</xdr:rowOff>
    </xdr:to>
    <xdr:pic>
      <xdr:nvPicPr>
        <xdr:cNvPr id="11" name="Kuva 6">
          <a:extLst>
            <a:ext uri="{FF2B5EF4-FFF2-40B4-BE49-F238E27FC236}">
              <a16:creationId xmlns:a16="http://schemas.microsoft.com/office/drawing/2014/main" id="{B1AFB054-6B47-4857-8D28-2C0BBDAA8733}"/>
            </a:ext>
          </a:extLst>
        </xdr:cNvPr>
        <xdr:cNvPicPr>
          <a:picLocks noChangeAspect="1"/>
        </xdr:cNvPicPr>
      </xdr:nvPicPr>
      <xdr:blipFill>
        <a:blip xmlns:r="http://schemas.openxmlformats.org/officeDocument/2006/relationships" r:embed="rId4"/>
        <a:stretch>
          <a:fillRect/>
        </a:stretch>
      </xdr:blipFill>
      <xdr:spPr>
        <a:xfrm>
          <a:off x="6505575" y="323851"/>
          <a:ext cx="1895475" cy="3431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7</xdr:row>
      <xdr:rowOff>0</xdr:rowOff>
    </xdr:from>
    <xdr:to>
      <xdr:col>1</xdr:col>
      <xdr:colOff>581025</xdr:colOff>
      <xdr:row>9</xdr:row>
      <xdr:rowOff>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F045AB3-966B-4A54-8C3F-7739AFD8C3F4}"/>
            </a:ext>
          </a:extLst>
        </xdr:cNvPr>
        <xdr:cNvSpPr/>
      </xdr:nvSpPr>
      <xdr:spPr>
        <a:xfrm>
          <a:off x="180975" y="12573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12</xdr:row>
      <xdr:rowOff>38100</xdr:rowOff>
    </xdr:from>
    <xdr:to>
      <xdr:col>1</xdr:col>
      <xdr:colOff>581025</xdr:colOff>
      <xdr:row>14</xdr:row>
      <xdr:rowOff>38100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24C6DAE3-4202-4E58-87F7-1274F9ADA6A6}"/>
            </a:ext>
          </a:extLst>
        </xdr:cNvPr>
        <xdr:cNvSpPr/>
      </xdr:nvSpPr>
      <xdr:spPr>
        <a:xfrm>
          <a:off x="180975" y="20574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14</xdr:row>
      <xdr:rowOff>133350</xdr:rowOff>
    </xdr:from>
    <xdr:to>
      <xdr:col>1</xdr:col>
      <xdr:colOff>581025</xdr:colOff>
      <xdr:row>16</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64B2D215-2ACF-4733-B382-E4D53B2B19FA}"/>
            </a:ext>
          </a:extLst>
        </xdr:cNvPr>
        <xdr:cNvSpPr/>
      </xdr:nvSpPr>
      <xdr:spPr>
        <a:xfrm>
          <a:off x="180975" y="24574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17</xdr:row>
      <xdr:rowOff>76200</xdr:rowOff>
    </xdr:from>
    <xdr:to>
      <xdr:col>1</xdr:col>
      <xdr:colOff>581025</xdr:colOff>
      <xdr:row>19</xdr:row>
      <xdr:rowOff>76200</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5AE6D78-7799-40B0-9C68-B16EBC844635}"/>
            </a:ext>
          </a:extLst>
        </xdr:cNvPr>
        <xdr:cNvSpPr/>
      </xdr:nvSpPr>
      <xdr:spPr>
        <a:xfrm>
          <a:off x="180975" y="28575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20</xdr:row>
      <xdr:rowOff>19050</xdr:rowOff>
    </xdr:from>
    <xdr:to>
      <xdr:col>1</xdr:col>
      <xdr:colOff>581025</xdr:colOff>
      <xdr:row>22</xdr:row>
      <xdr:rowOff>19050</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DB0A6A99-3849-4798-8577-A634280286A0}"/>
            </a:ext>
          </a:extLst>
        </xdr:cNvPr>
        <xdr:cNvSpPr/>
      </xdr:nvSpPr>
      <xdr:spPr>
        <a:xfrm>
          <a:off x="180975" y="32575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22</xdr:row>
      <xdr:rowOff>114300</xdr:rowOff>
    </xdr:from>
    <xdr:to>
      <xdr:col>1</xdr:col>
      <xdr:colOff>581025</xdr:colOff>
      <xdr:row>24</xdr:row>
      <xdr:rowOff>114300</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98DC5190-60A3-4723-A2D1-8C227308BC57}"/>
            </a:ext>
          </a:extLst>
        </xdr:cNvPr>
        <xdr:cNvSpPr/>
      </xdr:nvSpPr>
      <xdr:spPr>
        <a:xfrm>
          <a:off x="180975" y="36576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25</xdr:row>
      <xdr:rowOff>57150</xdr:rowOff>
    </xdr:from>
    <xdr:to>
      <xdr:col>1</xdr:col>
      <xdr:colOff>581025</xdr:colOff>
      <xdr:row>27</xdr:row>
      <xdr:rowOff>19050</xdr:rowOff>
    </xdr:to>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4C55E3D4-A0F6-4EC5-8C3A-E619ECFB6E31}"/>
            </a:ext>
          </a:extLst>
        </xdr:cNvPr>
        <xdr:cNvSpPr/>
      </xdr:nvSpPr>
      <xdr:spPr>
        <a:xfrm>
          <a:off x="180975" y="40576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27</xdr:row>
      <xdr:rowOff>114300</xdr:rowOff>
    </xdr:from>
    <xdr:to>
      <xdr:col>1</xdr:col>
      <xdr:colOff>581025</xdr:colOff>
      <xdr:row>29</xdr:row>
      <xdr:rowOff>114300</xdr:rowOff>
    </xdr:to>
    <xdr:sp macro="" textlink="">
      <xdr:nvSpPr>
        <xdr:cNvPr id="9" name="Rectangle: Rounded Corners 8">
          <a:hlinkClick xmlns:r="http://schemas.openxmlformats.org/officeDocument/2006/relationships" r:id="rId8"/>
          <a:extLst>
            <a:ext uri="{FF2B5EF4-FFF2-40B4-BE49-F238E27FC236}">
              <a16:creationId xmlns:a16="http://schemas.microsoft.com/office/drawing/2014/main" id="{912344BC-D20E-48B8-B561-781D723F2665}"/>
            </a:ext>
          </a:extLst>
        </xdr:cNvPr>
        <xdr:cNvSpPr/>
      </xdr:nvSpPr>
      <xdr:spPr>
        <a:xfrm>
          <a:off x="180975" y="44577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9</xdr:row>
      <xdr:rowOff>95250</xdr:rowOff>
    </xdr:from>
    <xdr:to>
      <xdr:col>1</xdr:col>
      <xdr:colOff>581025</xdr:colOff>
      <xdr:row>11</xdr:row>
      <xdr:rowOff>95250</xdr:rowOff>
    </xdr:to>
    <xdr:sp macro="" textlink="">
      <xdr:nvSpPr>
        <xdr:cNvPr id="10" name="Rectangle: Rounded Corners 9">
          <a:hlinkClick xmlns:r="http://schemas.openxmlformats.org/officeDocument/2006/relationships" r:id="rId6"/>
          <a:extLst>
            <a:ext uri="{FF2B5EF4-FFF2-40B4-BE49-F238E27FC236}">
              <a16:creationId xmlns:a16="http://schemas.microsoft.com/office/drawing/2014/main" id="{D74ACE5C-30DD-4CA8-B0DC-1510A38CFD57}"/>
            </a:ext>
          </a:extLst>
        </xdr:cNvPr>
        <xdr:cNvSpPr/>
      </xdr:nvSpPr>
      <xdr:spPr>
        <a:xfrm>
          <a:off x="180975" y="16573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30</xdr:row>
      <xdr:rowOff>57150</xdr:rowOff>
    </xdr:from>
    <xdr:to>
      <xdr:col>1</xdr:col>
      <xdr:colOff>581025</xdr:colOff>
      <xdr:row>32</xdr:row>
      <xdr:rowOff>57150</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9C38A66-18BA-45F2-9000-0EE3B3FF473F}"/>
            </a:ext>
          </a:extLst>
        </xdr:cNvPr>
        <xdr:cNvSpPr/>
      </xdr:nvSpPr>
      <xdr:spPr>
        <a:xfrm>
          <a:off x="180975" y="4857750"/>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33</xdr:row>
      <xdr:rowOff>0</xdr:rowOff>
    </xdr:from>
    <xdr:to>
      <xdr:col>1</xdr:col>
      <xdr:colOff>581025</xdr:colOff>
      <xdr:row>35</xdr:row>
      <xdr:rowOff>0</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4812AEE7-C962-4EA8-A08B-09B7283D8EB8}"/>
            </a:ext>
          </a:extLst>
        </xdr:cNvPr>
        <xdr:cNvSpPr/>
      </xdr:nvSpPr>
      <xdr:spPr>
        <a:xfrm>
          <a:off x="180975" y="52578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25</xdr:row>
      <xdr:rowOff>0</xdr:rowOff>
    </xdr:from>
    <xdr:to>
      <xdr:col>8</xdr:col>
      <xdr:colOff>330200</xdr:colOff>
      <xdr:row>39</xdr:row>
      <xdr:rowOff>99060</xdr:rowOff>
    </xdr:to>
    <xdr:graphicFrame macro="">
      <xdr:nvGraphicFramePr>
        <xdr:cNvPr id="6" name="Chart 5">
          <a:extLst>
            <a:ext uri="{FF2B5EF4-FFF2-40B4-BE49-F238E27FC236}">
              <a16:creationId xmlns:a16="http://schemas.microsoft.com/office/drawing/2014/main" id="{5E783346-44D2-4AF4-A510-9ECDEDF10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8</xdr:col>
      <xdr:colOff>330200</xdr:colOff>
      <xdr:row>56</xdr:row>
      <xdr:rowOff>76200</xdr:rowOff>
    </xdr:to>
    <xdr:graphicFrame macro="">
      <xdr:nvGraphicFramePr>
        <xdr:cNvPr id="9" name="Chart 8">
          <a:extLst>
            <a:ext uri="{FF2B5EF4-FFF2-40B4-BE49-F238E27FC236}">
              <a16:creationId xmlns:a16="http://schemas.microsoft.com/office/drawing/2014/main" id="{0EF8030D-E8EB-4B02-89FB-7DF639F1B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25</xdr:row>
      <xdr:rowOff>0</xdr:rowOff>
    </xdr:from>
    <xdr:to>
      <xdr:col>15</xdr:col>
      <xdr:colOff>330200</xdr:colOff>
      <xdr:row>39</xdr:row>
      <xdr:rowOff>99060</xdr:rowOff>
    </xdr:to>
    <xdr:graphicFrame macro="">
      <xdr:nvGraphicFramePr>
        <xdr:cNvPr id="11" name="Chart 10">
          <a:extLst>
            <a:ext uri="{FF2B5EF4-FFF2-40B4-BE49-F238E27FC236}">
              <a16:creationId xmlns:a16="http://schemas.microsoft.com/office/drawing/2014/main" id="{E5067CBF-9E60-4B00-97A8-580F452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42</xdr:row>
      <xdr:rowOff>0</xdr:rowOff>
    </xdr:from>
    <xdr:to>
      <xdr:col>15</xdr:col>
      <xdr:colOff>327660</xdr:colOff>
      <xdr:row>56</xdr:row>
      <xdr:rowOff>76200</xdr:rowOff>
    </xdr:to>
    <xdr:graphicFrame macro="">
      <xdr:nvGraphicFramePr>
        <xdr:cNvPr id="13" name="Chart 12">
          <a:extLst>
            <a:ext uri="{FF2B5EF4-FFF2-40B4-BE49-F238E27FC236}">
              <a16:creationId xmlns:a16="http://schemas.microsoft.com/office/drawing/2014/main" id="{7E6852E7-2BD2-4A5A-8E84-C7D40E9B1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59</xdr:row>
      <xdr:rowOff>0</xdr:rowOff>
    </xdr:from>
    <xdr:to>
      <xdr:col>8</xdr:col>
      <xdr:colOff>336550</xdr:colOff>
      <xdr:row>73</xdr:row>
      <xdr:rowOff>76200</xdr:rowOff>
    </xdr:to>
    <xdr:graphicFrame macro="">
      <xdr:nvGraphicFramePr>
        <xdr:cNvPr id="15" name="Chart 14">
          <a:extLst>
            <a:ext uri="{FF2B5EF4-FFF2-40B4-BE49-F238E27FC236}">
              <a16:creationId xmlns:a16="http://schemas.microsoft.com/office/drawing/2014/main" id="{25536DEB-5DC1-47BA-9612-989353337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59</xdr:row>
      <xdr:rowOff>0</xdr:rowOff>
    </xdr:from>
    <xdr:to>
      <xdr:col>15</xdr:col>
      <xdr:colOff>336550</xdr:colOff>
      <xdr:row>73</xdr:row>
      <xdr:rowOff>76200</xdr:rowOff>
    </xdr:to>
    <xdr:graphicFrame macro="">
      <xdr:nvGraphicFramePr>
        <xdr:cNvPr id="17" name="Chart 16">
          <a:extLst>
            <a:ext uri="{FF2B5EF4-FFF2-40B4-BE49-F238E27FC236}">
              <a16:creationId xmlns:a16="http://schemas.microsoft.com/office/drawing/2014/main" id="{C6926B54-7F4E-4DCB-9219-F648BBBD6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95</xdr:row>
      <xdr:rowOff>0</xdr:rowOff>
    </xdr:from>
    <xdr:to>
      <xdr:col>8</xdr:col>
      <xdr:colOff>342900</xdr:colOff>
      <xdr:row>109</xdr:row>
      <xdr:rowOff>76200</xdr:rowOff>
    </xdr:to>
    <xdr:graphicFrame macro="">
      <xdr:nvGraphicFramePr>
        <xdr:cNvPr id="3" name="Chart 2">
          <a:extLst>
            <a:ext uri="{FF2B5EF4-FFF2-40B4-BE49-F238E27FC236}">
              <a16:creationId xmlns:a16="http://schemas.microsoft.com/office/drawing/2014/main" id="{4569CCFC-FCB5-4A54-8AB3-1C9823B14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95</xdr:row>
      <xdr:rowOff>0</xdr:rowOff>
    </xdr:from>
    <xdr:to>
      <xdr:col>15</xdr:col>
      <xdr:colOff>342900</xdr:colOff>
      <xdr:row>109</xdr:row>
      <xdr:rowOff>76200</xdr:rowOff>
    </xdr:to>
    <xdr:graphicFrame macro="">
      <xdr:nvGraphicFramePr>
        <xdr:cNvPr id="5" name="Chart 4">
          <a:extLst>
            <a:ext uri="{FF2B5EF4-FFF2-40B4-BE49-F238E27FC236}">
              <a16:creationId xmlns:a16="http://schemas.microsoft.com/office/drawing/2014/main" id="{188D623B-10AF-41D4-B2E4-9ED7CA253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78</xdr:row>
      <xdr:rowOff>0</xdr:rowOff>
    </xdr:from>
    <xdr:to>
      <xdr:col>8</xdr:col>
      <xdr:colOff>342900</xdr:colOff>
      <xdr:row>92</xdr:row>
      <xdr:rowOff>76200</xdr:rowOff>
    </xdr:to>
    <xdr:graphicFrame macro="">
      <xdr:nvGraphicFramePr>
        <xdr:cNvPr id="8" name="Chart 7">
          <a:extLst>
            <a:ext uri="{FF2B5EF4-FFF2-40B4-BE49-F238E27FC236}">
              <a16:creationId xmlns:a16="http://schemas.microsoft.com/office/drawing/2014/main" id="{476E8FB5-D0FA-40C3-AF37-CE1088024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342900</xdr:colOff>
      <xdr:row>126</xdr:row>
      <xdr:rowOff>76200</xdr:rowOff>
    </xdr:to>
    <xdr:graphicFrame macro="">
      <xdr:nvGraphicFramePr>
        <xdr:cNvPr id="12" name="Chart 11">
          <a:extLst>
            <a:ext uri="{FF2B5EF4-FFF2-40B4-BE49-F238E27FC236}">
              <a16:creationId xmlns:a16="http://schemas.microsoft.com/office/drawing/2014/main" id="{EE8CC7AE-A979-4AF2-9C0D-366DFE0DB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78</xdr:row>
      <xdr:rowOff>0</xdr:rowOff>
    </xdr:from>
    <xdr:to>
      <xdr:col>15</xdr:col>
      <xdr:colOff>342900</xdr:colOff>
      <xdr:row>92</xdr:row>
      <xdr:rowOff>76200</xdr:rowOff>
    </xdr:to>
    <xdr:graphicFrame macro="">
      <xdr:nvGraphicFramePr>
        <xdr:cNvPr id="16" name="Chart 15">
          <a:extLst>
            <a:ext uri="{FF2B5EF4-FFF2-40B4-BE49-F238E27FC236}">
              <a16:creationId xmlns:a16="http://schemas.microsoft.com/office/drawing/2014/main" id="{AEBD9FD6-E920-4EDF-AD09-A33538864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235</xdr:row>
      <xdr:rowOff>0</xdr:rowOff>
    </xdr:from>
    <xdr:to>
      <xdr:col>8</xdr:col>
      <xdr:colOff>333375</xdr:colOff>
      <xdr:row>249</xdr:row>
      <xdr:rowOff>76200</xdr:rowOff>
    </xdr:to>
    <xdr:graphicFrame macro="">
      <xdr:nvGraphicFramePr>
        <xdr:cNvPr id="19" name="Chart 18">
          <a:extLst>
            <a:ext uri="{FF2B5EF4-FFF2-40B4-BE49-F238E27FC236}">
              <a16:creationId xmlns:a16="http://schemas.microsoft.com/office/drawing/2014/main" id="{075378D0-A857-4BA2-8EFC-5440A7FA1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254</xdr:row>
      <xdr:rowOff>0</xdr:rowOff>
    </xdr:from>
    <xdr:to>
      <xdr:col>15</xdr:col>
      <xdr:colOff>333375</xdr:colOff>
      <xdr:row>268</xdr:row>
      <xdr:rowOff>76200</xdr:rowOff>
    </xdr:to>
    <xdr:graphicFrame macro="">
      <xdr:nvGraphicFramePr>
        <xdr:cNvPr id="22" name="Chart 21">
          <a:extLst>
            <a:ext uri="{FF2B5EF4-FFF2-40B4-BE49-F238E27FC236}">
              <a16:creationId xmlns:a16="http://schemas.microsoft.com/office/drawing/2014/main" id="{9143158B-EF6D-4738-AEF0-B52BBF814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254</xdr:row>
      <xdr:rowOff>0</xdr:rowOff>
    </xdr:from>
    <xdr:to>
      <xdr:col>8</xdr:col>
      <xdr:colOff>333375</xdr:colOff>
      <xdr:row>268</xdr:row>
      <xdr:rowOff>76200</xdr:rowOff>
    </xdr:to>
    <xdr:graphicFrame macro="">
      <xdr:nvGraphicFramePr>
        <xdr:cNvPr id="24" name="Chart 23">
          <a:extLst>
            <a:ext uri="{FF2B5EF4-FFF2-40B4-BE49-F238E27FC236}">
              <a16:creationId xmlns:a16="http://schemas.microsoft.com/office/drawing/2014/main" id="{6C067574-0410-4478-8E0B-FCD0B43AD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273</xdr:row>
      <xdr:rowOff>0</xdr:rowOff>
    </xdr:from>
    <xdr:to>
      <xdr:col>8</xdr:col>
      <xdr:colOff>333375</xdr:colOff>
      <xdr:row>287</xdr:row>
      <xdr:rowOff>76200</xdr:rowOff>
    </xdr:to>
    <xdr:graphicFrame macro="">
      <xdr:nvGraphicFramePr>
        <xdr:cNvPr id="26" name="Chart 25">
          <a:extLst>
            <a:ext uri="{FF2B5EF4-FFF2-40B4-BE49-F238E27FC236}">
              <a16:creationId xmlns:a16="http://schemas.microsoft.com/office/drawing/2014/main" id="{C60E8167-743E-4806-9A9C-B2851A07D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290</xdr:row>
      <xdr:rowOff>0</xdr:rowOff>
    </xdr:from>
    <xdr:to>
      <xdr:col>15</xdr:col>
      <xdr:colOff>333375</xdr:colOff>
      <xdr:row>304</xdr:row>
      <xdr:rowOff>76200</xdr:rowOff>
    </xdr:to>
    <xdr:graphicFrame macro="">
      <xdr:nvGraphicFramePr>
        <xdr:cNvPr id="31" name="Chart 30">
          <a:extLst>
            <a:ext uri="{FF2B5EF4-FFF2-40B4-BE49-F238E27FC236}">
              <a16:creationId xmlns:a16="http://schemas.microsoft.com/office/drawing/2014/main" id="{FE522D91-C191-47E3-BCCE-88CFBE0D1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290</xdr:row>
      <xdr:rowOff>0</xdr:rowOff>
    </xdr:from>
    <xdr:to>
      <xdr:col>8</xdr:col>
      <xdr:colOff>333375</xdr:colOff>
      <xdr:row>304</xdr:row>
      <xdr:rowOff>76200</xdr:rowOff>
    </xdr:to>
    <xdr:graphicFrame macro="">
      <xdr:nvGraphicFramePr>
        <xdr:cNvPr id="32" name="Chart 31">
          <a:extLst>
            <a:ext uri="{FF2B5EF4-FFF2-40B4-BE49-F238E27FC236}">
              <a16:creationId xmlns:a16="http://schemas.microsoft.com/office/drawing/2014/main" id="{3665CE12-B59A-4F9E-9A0B-F48B902FA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307</xdr:row>
      <xdr:rowOff>0</xdr:rowOff>
    </xdr:from>
    <xdr:to>
      <xdr:col>8</xdr:col>
      <xdr:colOff>333375</xdr:colOff>
      <xdr:row>321</xdr:row>
      <xdr:rowOff>76200</xdr:rowOff>
    </xdr:to>
    <xdr:graphicFrame macro="">
      <xdr:nvGraphicFramePr>
        <xdr:cNvPr id="34" name="Chart 33">
          <a:extLst>
            <a:ext uri="{FF2B5EF4-FFF2-40B4-BE49-F238E27FC236}">
              <a16:creationId xmlns:a16="http://schemas.microsoft.com/office/drawing/2014/main" id="{F1CA9143-B395-4CEB-A59D-41A4D3A9D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0</xdr:colOff>
      <xdr:row>307</xdr:row>
      <xdr:rowOff>0</xdr:rowOff>
    </xdr:from>
    <xdr:to>
      <xdr:col>15</xdr:col>
      <xdr:colOff>333375</xdr:colOff>
      <xdr:row>321</xdr:row>
      <xdr:rowOff>76200</xdr:rowOff>
    </xdr:to>
    <xdr:graphicFrame macro="">
      <xdr:nvGraphicFramePr>
        <xdr:cNvPr id="36" name="Chart 35">
          <a:extLst>
            <a:ext uri="{FF2B5EF4-FFF2-40B4-BE49-F238E27FC236}">
              <a16:creationId xmlns:a16="http://schemas.microsoft.com/office/drawing/2014/main" id="{309BD055-4F3C-4F43-9C7C-E8CFB8C28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324</xdr:row>
      <xdr:rowOff>0</xdr:rowOff>
    </xdr:from>
    <xdr:to>
      <xdr:col>8</xdr:col>
      <xdr:colOff>333375</xdr:colOff>
      <xdr:row>338</xdr:row>
      <xdr:rowOff>76200</xdr:rowOff>
    </xdr:to>
    <xdr:graphicFrame macro="">
      <xdr:nvGraphicFramePr>
        <xdr:cNvPr id="38" name="Chart 37">
          <a:extLst>
            <a:ext uri="{FF2B5EF4-FFF2-40B4-BE49-F238E27FC236}">
              <a16:creationId xmlns:a16="http://schemas.microsoft.com/office/drawing/2014/main" id="{9013EBDA-809D-4F9E-8604-43FFD196C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341</xdr:row>
      <xdr:rowOff>0</xdr:rowOff>
    </xdr:from>
    <xdr:to>
      <xdr:col>8</xdr:col>
      <xdr:colOff>333375</xdr:colOff>
      <xdr:row>355</xdr:row>
      <xdr:rowOff>76200</xdr:rowOff>
    </xdr:to>
    <xdr:graphicFrame macro="">
      <xdr:nvGraphicFramePr>
        <xdr:cNvPr id="40" name="Chart 39">
          <a:extLst>
            <a:ext uri="{FF2B5EF4-FFF2-40B4-BE49-F238E27FC236}">
              <a16:creationId xmlns:a16="http://schemas.microsoft.com/office/drawing/2014/main" id="{88D8C4FC-46CE-44C1-9C9C-8EE9B2EE4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0</xdr:colOff>
      <xdr:row>341</xdr:row>
      <xdr:rowOff>0</xdr:rowOff>
    </xdr:from>
    <xdr:to>
      <xdr:col>15</xdr:col>
      <xdr:colOff>333375</xdr:colOff>
      <xdr:row>355</xdr:row>
      <xdr:rowOff>76200</xdr:rowOff>
    </xdr:to>
    <xdr:graphicFrame macro="">
      <xdr:nvGraphicFramePr>
        <xdr:cNvPr id="42" name="Chart 41">
          <a:extLst>
            <a:ext uri="{FF2B5EF4-FFF2-40B4-BE49-F238E27FC236}">
              <a16:creationId xmlns:a16="http://schemas.microsoft.com/office/drawing/2014/main" id="{6FB4E05C-50C7-42B4-ACB8-3AA533E7C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360</xdr:row>
      <xdr:rowOff>0</xdr:rowOff>
    </xdr:from>
    <xdr:to>
      <xdr:col>8</xdr:col>
      <xdr:colOff>333375</xdr:colOff>
      <xdr:row>374</xdr:row>
      <xdr:rowOff>76200</xdr:rowOff>
    </xdr:to>
    <xdr:graphicFrame macro="">
      <xdr:nvGraphicFramePr>
        <xdr:cNvPr id="44" name="Chart 43">
          <a:extLst>
            <a:ext uri="{FF2B5EF4-FFF2-40B4-BE49-F238E27FC236}">
              <a16:creationId xmlns:a16="http://schemas.microsoft.com/office/drawing/2014/main" id="{C78DCC2D-0C10-4544-B156-FEF3C0D0F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0</xdr:colOff>
      <xdr:row>360</xdr:row>
      <xdr:rowOff>0</xdr:rowOff>
    </xdr:from>
    <xdr:to>
      <xdr:col>15</xdr:col>
      <xdr:colOff>333375</xdr:colOff>
      <xdr:row>374</xdr:row>
      <xdr:rowOff>76200</xdr:rowOff>
    </xdr:to>
    <xdr:graphicFrame macro="">
      <xdr:nvGraphicFramePr>
        <xdr:cNvPr id="46" name="Chart 45">
          <a:extLst>
            <a:ext uri="{FF2B5EF4-FFF2-40B4-BE49-F238E27FC236}">
              <a16:creationId xmlns:a16="http://schemas.microsoft.com/office/drawing/2014/main" id="{27667237-88B3-494F-8F3D-FF45E92B8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377</xdr:row>
      <xdr:rowOff>0</xdr:rowOff>
    </xdr:from>
    <xdr:to>
      <xdr:col>8</xdr:col>
      <xdr:colOff>333375</xdr:colOff>
      <xdr:row>391</xdr:row>
      <xdr:rowOff>76200</xdr:rowOff>
    </xdr:to>
    <xdr:graphicFrame macro="">
      <xdr:nvGraphicFramePr>
        <xdr:cNvPr id="48" name="Chart 47">
          <a:extLst>
            <a:ext uri="{FF2B5EF4-FFF2-40B4-BE49-F238E27FC236}">
              <a16:creationId xmlns:a16="http://schemas.microsoft.com/office/drawing/2014/main" id="{4338F13A-B800-4195-B292-E8C479A01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0</xdr:colOff>
      <xdr:row>394</xdr:row>
      <xdr:rowOff>0</xdr:rowOff>
    </xdr:from>
    <xdr:to>
      <xdr:col>8</xdr:col>
      <xdr:colOff>333375</xdr:colOff>
      <xdr:row>408</xdr:row>
      <xdr:rowOff>76200</xdr:rowOff>
    </xdr:to>
    <xdr:graphicFrame macro="">
      <xdr:nvGraphicFramePr>
        <xdr:cNvPr id="51" name="Chart 50">
          <a:extLst>
            <a:ext uri="{FF2B5EF4-FFF2-40B4-BE49-F238E27FC236}">
              <a16:creationId xmlns:a16="http://schemas.microsoft.com/office/drawing/2014/main" id="{B0D480D5-AC43-421C-B796-AA5CE9FFF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0</xdr:colOff>
      <xdr:row>394</xdr:row>
      <xdr:rowOff>0</xdr:rowOff>
    </xdr:from>
    <xdr:to>
      <xdr:col>15</xdr:col>
      <xdr:colOff>333375</xdr:colOff>
      <xdr:row>408</xdr:row>
      <xdr:rowOff>76200</xdr:rowOff>
    </xdr:to>
    <xdr:graphicFrame macro="">
      <xdr:nvGraphicFramePr>
        <xdr:cNvPr id="53" name="Chart 52">
          <a:extLst>
            <a:ext uri="{FF2B5EF4-FFF2-40B4-BE49-F238E27FC236}">
              <a16:creationId xmlns:a16="http://schemas.microsoft.com/office/drawing/2014/main" id="{F9528AE2-E6CA-4046-895A-064DCE68C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0</xdr:colOff>
      <xdr:row>411</xdr:row>
      <xdr:rowOff>0</xdr:rowOff>
    </xdr:from>
    <xdr:to>
      <xdr:col>8</xdr:col>
      <xdr:colOff>333375</xdr:colOff>
      <xdr:row>425</xdr:row>
      <xdr:rowOff>76200</xdr:rowOff>
    </xdr:to>
    <xdr:graphicFrame macro="">
      <xdr:nvGraphicFramePr>
        <xdr:cNvPr id="55" name="Chart 54">
          <a:extLst>
            <a:ext uri="{FF2B5EF4-FFF2-40B4-BE49-F238E27FC236}">
              <a16:creationId xmlns:a16="http://schemas.microsoft.com/office/drawing/2014/main" id="{A9BFC8BD-30B9-4D30-88BC-8C7377342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0</xdr:colOff>
      <xdr:row>411</xdr:row>
      <xdr:rowOff>0</xdr:rowOff>
    </xdr:from>
    <xdr:to>
      <xdr:col>15</xdr:col>
      <xdr:colOff>333375</xdr:colOff>
      <xdr:row>425</xdr:row>
      <xdr:rowOff>76200</xdr:rowOff>
    </xdr:to>
    <xdr:graphicFrame macro="">
      <xdr:nvGraphicFramePr>
        <xdr:cNvPr id="57" name="Chart 56">
          <a:extLst>
            <a:ext uri="{FF2B5EF4-FFF2-40B4-BE49-F238E27FC236}">
              <a16:creationId xmlns:a16="http://schemas.microsoft.com/office/drawing/2014/main" id="{BDC02CE5-4135-424C-9F31-669D03ACD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0</xdr:colOff>
      <xdr:row>428</xdr:row>
      <xdr:rowOff>0</xdr:rowOff>
    </xdr:from>
    <xdr:to>
      <xdr:col>8</xdr:col>
      <xdr:colOff>326390</xdr:colOff>
      <xdr:row>442</xdr:row>
      <xdr:rowOff>82550</xdr:rowOff>
    </xdr:to>
    <xdr:graphicFrame macro="">
      <xdr:nvGraphicFramePr>
        <xdr:cNvPr id="4" name="Chart 3">
          <a:extLst>
            <a:ext uri="{FF2B5EF4-FFF2-40B4-BE49-F238E27FC236}">
              <a16:creationId xmlns:a16="http://schemas.microsoft.com/office/drawing/2014/main" id="{DCB89361-4B07-47FA-BAC5-24EC612B3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0</xdr:colOff>
      <xdr:row>428</xdr:row>
      <xdr:rowOff>0</xdr:rowOff>
    </xdr:from>
    <xdr:to>
      <xdr:col>15</xdr:col>
      <xdr:colOff>327660</xdr:colOff>
      <xdr:row>442</xdr:row>
      <xdr:rowOff>82550</xdr:rowOff>
    </xdr:to>
    <xdr:graphicFrame macro="">
      <xdr:nvGraphicFramePr>
        <xdr:cNvPr id="14" name="Chart 13">
          <a:extLst>
            <a:ext uri="{FF2B5EF4-FFF2-40B4-BE49-F238E27FC236}">
              <a16:creationId xmlns:a16="http://schemas.microsoft.com/office/drawing/2014/main" id="{2099BDD9-E82A-4702-B5BB-5A9F09BC9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0</xdr:colOff>
      <xdr:row>445</xdr:row>
      <xdr:rowOff>0</xdr:rowOff>
    </xdr:from>
    <xdr:to>
      <xdr:col>8</xdr:col>
      <xdr:colOff>323850</xdr:colOff>
      <xdr:row>459</xdr:row>
      <xdr:rowOff>80010</xdr:rowOff>
    </xdr:to>
    <xdr:graphicFrame macro="">
      <xdr:nvGraphicFramePr>
        <xdr:cNvPr id="21" name="Chart 20">
          <a:extLst>
            <a:ext uri="{FF2B5EF4-FFF2-40B4-BE49-F238E27FC236}">
              <a16:creationId xmlns:a16="http://schemas.microsoft.com/office/drawing/2014/main" id="{A57A56D6-47B0-46D1-96BC-3E4F082E9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0</xdr:colOff>
      <xdr:row>445</xdr:row>
      <xdr:rowOff>0</xdr:rowOff>
    </xdr:from>
    <xdr:to>
      <xdr:col>15</xdr:col>
      <xdr:colOff>327660</xdr:colOff>
      <xdr:row>459</xdr:row>
      <xdr:rowOff>81280</xdr:rowOff>
    </xdr:to>
    <xdr:graphicFrame macro="">
      <xdr:nvGraphicFramePr>
        <xdr:cNvPr id="25" name="Chart 24">
          <a:extLst>
            <a:ext uri="{FF2B5EF4-FFF2-40B4-BE49-F238E27FC236}">
              <a16:creationId xmlns:a16="http://schemas.microsoft.com/office/drawing/2014/main" id="{FF4C4FEE-7826-4900-BE97-8F8C04D92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0</xdr:colOff>
      <xdr:row>462</xdr:row>
      <xdr:rowOff>0</xdr:rowOff>
    </xdr:from>
    <xdr:to>
      <xdr:col>8</xdr:col>
      <xdr:colOff>325120</xdr:colOff>
      <xdr:row>476</xdr:row>
      <xdr:rowOff>82550</xdr:rowOff>
    </xdr:to>
    <xdr:graphicFrame macro="">
      <xdr:nvGraphicFramePr>
        <xdr:cNvPr id="27" name="Chart 26">
          <a:extLst>
            <a:ext uri="{FF2B5EF4-FFF2-40B4-BE49-F238E27FC236}">
              <a16:creationId xmlns:a16="http://schemas.microsoft.com/office/drawing/2014/main" id="{60AB4116-29E9-42F8-A3AD-D9E63B592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0</xdr:colOff>
      <xdr:row>481</xdr:row>
      <xdr:rowOff>0</xdr:rowOff>
    </xdr:from>
    <xdr:to>
      <xdr:col>8</xdr:col>
      <xdr:colOff>326390</xdr:colOff>
      <xdr:row>495</xdr:row>
      <xdr:rowOff>88900</xdr:rowOff>
    </xdr:to>
    <xdr:graphicFrame macro="">
      <xdr:nvGraphicFramePr>
        <xdr:cNvPr id="56" name="Chart 55">
          <a:extLst>
            <a:ext uri="{FF2B5EF4-FFF2-40B4-BE49-F238E27FC236}">
              <a16:creationId xmlns:a16="http://schemas.microsoft.com/office/drawing/2014/main" id="{C259C6BC-A4ED-42F1-9A5C-2A1B7F7A7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xdr:col>
      <xdr:colOff>0</xdr:colOff>
      <xdr:row>481</xdr:row>
      <xdr:rowOff>0</xdr:rowOff>
    </xdr:from>
    <xdr:to>
      <xdr:col>15</xdr:col>
      <xdr:colOff>325120</xdr:colOff>
      <xdr:row>495</xdr:row>
      <xdr:rowOff>97790</xdr:rowOff>
    </xdr:to>
    <xdr:graphicFrame macro="">
      <xdr:nvGraphicFramePr>
        <xdr:cNvPr id="60" name="Chart 59">
          <a:extLst>
            <a:ext uri="{FF2B5EF4-FFF2-40B4-BE49-F238E27FC236}">
              <a16:creationId xmlns:a16="http://schemas.microsoft.com/office/drawing/2014/main" id="{0E9803E6-8965-40F7-ADB3-200C3E918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0</xdr:colOff>
      <xdr:row>6</xdr:row>
      <xdr:rowOff>0</xdr:rowOff>
    </xdr:from>
    <xdr:to>
      <xdr:col>8</xdr:col>
      <xdr:colOff>325120</xdr:colOff>
      <xdr:row>20</xdr:row>
      <xdr:rowOff>99060</xdr:rowOff>
    </xdr:to>
    <xdr:graphicFrame macro="">
      <xdr:nvGraphicFramePr>
        <xdr:cNvPr id="62" name="Chart 61">
          <a:extLst>
            <a:ext uri="{FF2B5EF4-FFF2-40B4-BE49-F238E27FC236}">
              <a16:creationId xmlns:a16="http://schemas.microsoft.com/office/drawing/2014/main" id="{A191D21A-F7DD-4129-BE6D-F963AEAB8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xdr:col>
      <xdr:colOff>0</xdr:colOff>
      <xdr:row>6</xdr:row>
      <xdr:rowOff>0</xdr:rowOff>
    </xdr:from>
    <xdr:to>
      <xdr:col>15</xdr:col>
      <xdr:colOff>327660</xdr:colOff>
      <xdr:row>20</xdr:row>
      <xdr:rowOff>93980</xdr:rowOff>
    </xdr:to>
    <xdr:graphicFrame macro="">
      <xdr:nvGraphicFramePr>
        <xdr:cNvPr id="64" name="Chart 63">
          <a:extLst>
            <a:ext uri="{FF2B5EF4-FFF2-40B4-BE49-F238E27FC236}">
              <a16:creationId xmlns:a16="http://schemas.microsoft.com/office/drawing/2014/main" id="{6DF69304-8C9B-4992-AB95-0128EF1E4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0</xdr:colOff>
      <xdr:row>148</xdr:row>
      <xdr:rowOff>0</xdr:rowOff>
    </xdr:from>
    <xdr:to>
      <xdr:col>8</xdr:col>
      <xdr:colOff>344170</xdr:colOff>
      <xdr:row>162</xdr:row>
      <xdr:rowOff>76200</xdr:rowOff>
    </xdr:to>
    <xdr:graphicFrame macro="">
      <xdr:nvGraphicFramePr>
        <xdr:cNvPr id="66" name="Chart 65">
          <a:extLst>
            <a:ext uri="{FF2B5EF4-FFF2-40B4-BE49-F238E27FC236}">
              <a16:creationId xmlns:a16="http://schemas.microsoft.com/office/drawing/2014/main" id="{C2207D84-A21C-4942-8149-DD7852D9A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0</xdr:colOff>
      <xdr:row>148</xdr:row>
      <xdr:rowOff>0</xdr:rowOff>
    </xdr:from>
    <xdr:to>
      <xdr:col>15</xdr:col>
      <xdr:colOff>340360</xdr:colOff>
      <xdr:row>162</xdr:row>
      <xdr:rowOff>76200</xdr:rowOff>
    </xdr:to>
    <xdr:graphicFrame macro="">
      <xdr:nvGraphicFramePr>
        <xdr:cNvPr id="68" name="Chart 67">
          <a:extLst>
            <a:ext uri="{FF2B5EF4-FFF2-40B4-BE49-F238E27FC236}">
              <a16:creationId xmlns:a16="http://schemas.microsoft.com/office/drawing/2014/main" id="{177DCEE8-57F0-4BD3-A2A9-DC95701E3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0</xdr:colOff>
      <xdr:row>165</xdr:row>
      <xdr:rowOff>0</xdr:rowOff>
    </xdr:from>
    <xdr:to>
      <xdr:col>8</xdr:col>
      <xdr:colOff>340360</xdr:colOff>
      <xdr:row>179</xdr:row>
      <xdr:rowOff>72390</xdr:rowOff>
    </xdr:to>
    <xdr:graphicFrame macro="">
      <xdr:nvGraphicFramePr>
        <xdr:cNvPr id="70" name="Chart 69">
          <a:extLst>
            <a:ext uri="{FF2B5EF4-FFF2-40B4-BE49-F238E27FC236}">
              <a16:creationId xmlns:a16="http://schemas.microsoft.com/office/drawing/2014/main" id="{A78CDCFC-0A70-49EB-9882-81CA5EB4A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4</xdr:row>
      <xdr:rowOff>0</xdr:rowOff>
    </xdr:from>
    <xdr:to>
      <xdr:col>1</xdr:col>
      <xdr:colOff>581025</xdr:colOff>
      <xdr:row>5</xdr:row>
      <xdr:rowOff>114300</xdr:rowOff>
    </xdr:to>
    <xdr:sp macro="" textlink="">
      <xdr:nvSpPr>
        <xdr:cNvPr id="2" name="Rectangle: Rounded Corners 1">
          <a:hlinkClick xmlns:r="http://schemas.openxmlformats.org/officeDocument/2006/relationships" r:id="rId42"/>
          <a:extLst>
            <a:ext uri="{FF2B5EF4-FFF2-40B4-BE49-F238E27FC236}">
              <a16:creationId xmlns:a16="http://schemas.microsoft.com/office/drawing/2014/main" id="{9FCB4E6A-F3EE-4BF1-B1F8-E80BC8D948D8}"/>
            </a:ext>
          </a:extLst>
        </xdr:cNvPr>
        <xdr:cNvSpPr/>
      </xdr:nvSpPr>
      <xdr:spPr>
        <a:xfrm>
          <a:off x="174625" y="8413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8</xdr:row>
      <xdr:rowOff>38100</xdr:rowOff>
    </xdr:from>
    <xdr:to>
      <xdr:col>1</xdr:col>
      <xdr:colOff>581025</xdr:colOff>
      <xdr:row>9</xdr:row>
      <xdr:rowOff>152400</xdr:rowOff>
    </xdr:to>
    <xdr:sp macro="" textlink="">
      <xdr:nvSpPr>
        <xdr:cNvPr id="7" name="Rectangle: Rounded Corners 6">
          <a:hlinkClick xmlns:r="http://schemas.openxmlformats.org/officeDocument/2006/relationships" r:id="rId43"/>
          <a:extLst>
            <a:ext uri="{FF2B5EF4-FFF2-40B4-BE49-F238E27FC236}">
              <a16:creationId xmlns:a16="http://schemas.microsoft.com/office/drawing/2014/main" id="{A0EE575D-C492-443C-BE55-4376DA1C11D6}"/>
            </a:ext>
          </a:extLst>
        </xdr:cNvPr>
        <xdr:cNvSpPr/>
      </xdr:nvSpPr>
      <xdr:spPr>
        <a:xfrm>
          <a:off x="174625" y="16414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10</xdr:row>
      <xdr:rowOff>57150</xdr:rowOff>
    </xdr:from>
    <xdr:to>
      <xdr:col>1</xdr:col>
      <xdr:colOff>581025</xdr:colOff>
      <xdr:row>11</xdr:row>
      <xdr:rowOff>171450</xdr:rowOff>
    </xdr:to>
    <xdr:sp macro="" textlink="">
      <xdr:nvSpPr>
        <xdr:cNvPr id="10" name="Rectangle: Rounded Corners 9">
          <a:hlinkClick xmlns:r="http://schemas.openxmlformats.org/officeDocument/2006/relationships" r:id="rId44"/>
          <a:extLst>
            <a:ext uri="{FF2B5EF4-FFF2-40B4-BE49-F238E27FC236}">
              <a16:creationId xmlns:a16="http://schemas.microsoft.com/office/drawing/2014/main" id="{53BB33E8-1053-4D2B-8474-40D794F0B4B6}"/>
            </a:ext>
          </a:extLst>
        </xdr:cNvPr>
        <xdr:cNvSpPr/>
      </xdr:nvSpPr>
      <xdr:spPr>
        <a:xfrm>
          <a:off x="174625" y="20415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12</xdr:row>
      <xdr:rowOff>76200</xdr:rowOff>
    </xdr:from>
    <xdr:to>
      <xdr:col>1</xdr:col>
      <xdr:colOff>581025</xdr:colOff>
      <xdr:row>14</xdr:row>
      <xdr:rowOff>0</xdr:rowOff>
    </xdr:to>
    <xdr:sp macro="" textlink="">
      <xdr:nvSpPr>
        <xdr:cNvPr id="18" name="Rectangle: Rounded Corners 17">
          <a:hlinkClick xmlns:r="http://schemas.openxmlformats.org/officeDocument/2006/relationships" r:id="rId45"/>
          <a:extLst>
            <a:ext uri="{FF2B5EF4-FFF2-40B4-BE49-F238E27FC236}">
              <a16:creationId xmlns:a16="http://schemas.microsoft.com/office/drawing/2014/main" id="{07D1408F-2B5F-49BF-96BE-0A7B602BE1DF}"/>
            </a:ext>
          </a:extLst>
        </xdr:cNvPr>
        <xdr:cNvSpPr/>
      </xdr:nvSpPr>
      <xdr:spPr>
        <a:xfrm>
          <a:off x="174625" y="24415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14</xdr:row>
      <xdr:rowOff>95250</xdr:rowOff>
    </xdr:from>
    <xdr:to>
      <xdr:col>1</xdr:col>
      <xdr:colOff>581025</xdr:colOff>
      <xdr:row>16</xdr:row>
      <xdr:rowOff>19050</xdr:rowOff>
    </xdr:to>
    <xdr:sp macro="" textlink="">
      <xdr:nvSpPr>
        <xdr:cNvPr id="20" name="Rectangle: Rounded Corners 19">
          <a:hlinkClick xmlns:r="http://schemas.openxmlformats.org/officeDocument/2006/relationships" r:id="rId46"/>
          <a:extLst>
            <a:ext uri="{FF2B5EF4-FFF2-40B4-BE49-F238E27FC236}">
              <a16:creationId xmlns:a16="http://schemas.microsoft.com/office/drawing/2014/main" id="{FC495199-F37B-49FA-BFEB-9A4712F3D968}"/>
            </a:ext>
          </a:extLst>
        </xdr:cNvPr>
        <xdr:cNvSpPr/>
      </xdr:nvSpPr>
      <xdr:spPr>
        <a:xfrm>
          <a:off x="174625" y="28416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16</xdr:row>
      <xdr:rowOff>114300</xdr:rowOff>
    </xdr:from>
    <xdr:to>
      <xdr:col>1</xdr:col>
      <xdr:colOff>581025</xdr:colOff>
      <xdr:row>18</xdr:row>
      <xdr:rowOff>38100</xdr:rowOff>
    </xdr:to>
    <xdr:sp macro="" textlink="">
      <xdr:nvSpPr>
        <xdr:cNvPr id="23" name="Rectangle: Rounded Corners 22">
          <a:hlinkClick xmlns:r="http://schemas.openxmlformats.org/officeDocument/2006/relationships" r:id="rId47"/>
          <a:extLst>
            <a:ext uri="{FF2B5EF4-FFF2-40B4-BE49-F238E27FC236}">
              <a16:creationId xmlns:a16="http://schemas.microsoft.com/office/drawing/2014/main" id="{0564E735-D13E-4056-BE8F-C028E7A6926E}"/>
            </a:ext>
          </a:extLst>
        </xdr:cNvPr>
        <xdr:cNvSpPr/>
      </xdr:nvSpPr>
      <xdr:spPr>
        <a:xfrm>
          <a:off x="174625" y="32416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18</xdr:row>
      <xdr:rowOff>133350</xdr:rowOff>
    </xdr:from>
    <xdr:to>
      <xdr:col>1</xdr:col>
      <xdr:colOff>581025</xdr:colOff>
      <xdr:row>20</xdr:row>
      <xdr:rowOff>57150</xdr:rowOff>
    </xdr:to>
    <xdr:sp macro="" textlink="">
      <xdr:nvSpPr>
        <xdr:cNvPr id="28" name="Rectangle: Rounded Corners 27">
          <a:hlinkClick xmlns:r="http://schemas.openxmlformats.org/officeDocument/2006/relationships" r:id="rId48"/>
          <a:extLst>
            <a:ext uri="{FF2B5EF4-FFF2-40B4-BE49-F238E27FC236}">
              <a16:creationId xmlns:a16="http://schemas.microsoft.com/office/drawing/2014/main" id="{791FB1C8-1822-4CAE-8784-58B7B224A402}"/>
            </a:ext>
          </a:extLst>
        </xdr:cNvPr>
        <xdr:cNvSpPr/>
      </xdr:nvSpPr>
      <xdr:spPr>
        <a:xfrm>
          <a:off x="174625" y="36417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20</xdr:row>
      <xdr:rowOff>152400</xdr:rowOff>
    </xdr:from>
    <xdr:to>
      <xdr:col>1</xdr:col>
      <xdr:colOff>581025</xdr:colOff>
      <xdr:row>22</xdr:row>
      <xdr:rowOff>76200</xdr:rowOff>
    </xdr:to>
    <xdr:sp macro="" textlink="">
      <xdr:nvSpPr>
        <xdr:cNvPr id="29" name="Rectangle: Rounded Corners 28">
          <a:hlinkClick xmlns:r="http://schemas.openxmlformats.org/officeDocument/2006/relationships" r:id="rId49"/>
          <a:extLst>
            <a:ext uri="{FF2B5EF4-FFF2-40B4-BE49-F238E27FC236}">
              <a16:creationId xmlns:a16="http://schemas.microsoft.com/office/drawing/2014/main" id="{3F58A5E1-B4C9-4295-8787-E95E46E5D9E7}"/>
            </a:ext>
          </a:extLst>
        </xdr:cNvPr>
        <xdr:cNvSpPr/>
      </xdr:nvSpPr>
      <xdr:spPr>
        <a:xfrm>
          <a:off x="174625" y="40417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6</xdr:row>
      <xdr:rowOff>19050</xdr:rowOff>
    </xdr:from>
    <xdr:to>
      <xdr:col>1</xdr:col>
      <xdr:colOff>581025</xdr:colOff>
      <xdr:row>7</xdr:row>
      <xdr:rowOff>133350</xdr:rowOff>
    </xdr:to>
    <xdr:sp macro="" textlink="">
      <xdr:nvSpPr>
        <xdr:cNvPr id="30" name="Rectangle: Rounded Corners 29">
          <a:hlinkClick xmlns:r="http://schemas.openxmlformats.org/officeDocument/2006/relationships" r:id="rId47"/>
          <a:extLst>
            <a:ext uri="{FF2B5EF4-FFF2-40B4-BE49-F238E27FC236}">
              <a16:creationId xmlns:a16="http://schemas.microsoft.com/office/drawing/2014/main" id="{CEBF9B60-6FBA-4EFD-8EB4-5A3A18D4273A}"/>
            </a:ext>
          </a:extLst>
        </xdr:cNvPr>
        <xdr:cNvSpPr/>
      </xdr:nvSpPr>
      <xdr:spPr>
        <a:xfrm>
          <a:off x="174625" y="12414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22</xdr:row>
      <xdr:rowOff>171450</xdr:rowOff>
    </xdr:from>
    <xdr:to>
      <xdr:col>1</xdr:col>
      <xdr:colOff>581025</xdr:colOff>
      <xdr:row>24</xdr:row>
      <xdr:rowOff>95250</xdr:rowOff>
    </xdr:to>
    <xdr:sp macro="" textlink="">
      <xdr:nvSpPr>
        <xdr:cNvPr id="33" name="Rectangle: Rounded Corners 32">
          <a:hlinkClick xmlns:r="http://schemas.openxmlformats.org/officeDocument/2006/relationships" r:id="rId50"/>
          <a:extLst>
            <a:ext uri="{FF2B5EF4-FFF2-40B4-BE49-F238E27FC236}">
              <a16:creationId xmlns:a16="http://schemas.microsoft.com/office/drawing/2014/main" id="{DBB405BE-025A-4099-9B41-0BDE041043F8}"/>
            </a:ext>
          </a:extLst>
        </xdr:cNvPr>
        <xdr:cNvSpPr/>
      </xdr:nvSpPr>
      <xdr:spPr>
        <a:xfrm>
          <a:off x="174625" y="44418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25</xdr:row>
      <xdr:rowOff>0</xdr:rowOff>
    </xdr:from>
    <xdr:to>
      <xdr:col>1</xdr:col>
      <xdr:colOff>581025</xdr:colOff>
      <xdr:row>26</xdr:row>
      <xdr:rowOff>114300</xdr:rowOff>
    </xdr:to>
    <xdr:sp macro="" textlink="">
      <xdr:nvSpPr>
        <xdr:cNvPr id="35" name="Rectangle: Rounded Corners 34">
          <a:hlinkClick xmlns:r="http://schemas.openxmlformats.org/officeDocument/2006/relationships" r:id="rId51"/>
          <a:extLst>
            <a:ext uri="{FF2B5EF4-FFF2-40B4-BE49-F238E27FC236}">
              <a16:creationId xmlns:a16="http://schemas.microsoft.com/office/drawing/2014/main" id="{A6136D8B-9B75-42BC-A8DF-6F022D88DAD1}"/>
            </a:ext>
          </a:extLst>
        </xdr:cNvPr>
        <xdr:cNvSpPr/>
      </xdr:nvSpPr>
      <xdr:spPr>
        <a:xfrm>
          <a:off x="174625" y="4841875"/>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11</a:t>
          </a:r>
        </a:p>
      </xdr:txBody>
    </xdr:sp>
    <xdr:clientData/>
  </xdr:twoCellAnchor>
  <xdr:twoCellAnchor>
    <xdr:from>
      <xdr:col>9</xdr:col>
      <xdr:colOff>0</xdr:colOff>
      <xdr:row>165</xdr:row>
      <xdr:rowOff>0</xdr:rowOff>
    </xdr:from>
    <xdr:to>
      <xdr:col>15</xdr:col>
      <xdr:colOff>333375</xdr:colOff>
      <xdr:row>179</xdr:row>
      <xdr:rowOff>76200</xdr:rowOff>
    </xdr:to>
    <xdr:graphicFrame macro="">
      <xdr:nvGraphicFramePr>
        <xdr:cNvPr id="37" name="Chart 36">
          <a:extLst>
            <a:ext uri="{FF2B5EF4-FFF2-40B4-BE49-F238E27FC236}">
              <a16:creationId xmlns:a16="http://schemas.microsoft.com/office/drawing/2014/main" id="{033C00F4-FE46-456B-940C-A8E3E5A52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0</xdr:colOff>
      <xdr:row>182</xdr:row>
      <xdr:rowOff>0</xdr:rowOff>
    </xdr:from>
    <xdr:to>
      <xdr:col>8</xdr:col>
      <xdr:colOff>333375</xdr:colOff>
      <xdr:row>196</xdr:row>
      <xdr:rowOff>76200</xdr:rowOff>
    </xdr:to>
    <xdr:graphicFrame macro="">
      <xdr:nvGraphicFramePr>
        <xdr:cNvPr id="39" name="Chart 38">
          <a:extLst>
            <a:ext uri="{FF2B5EF4-FFF2-40B4-BE49-F238E27FC236}">
              <a16:creationId xmlns:a16="http://schemas.microsoft.com/office/drawing/2014/main" id="{EF789E6A-F0F4-481E-B7D1-1C094AE00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0</xdr:colOff>
      <xdr:row>199</xdr:row>
      <xdr:rowOff>0</xdr:rowOff>
    </xdr:from>
    <xdr:to>
      <xdr:col>15</xdr:col>
      <xdr:colOff>333375</xdr:colOff>
      <xdr:row>213</xdr:row>
      <xdr:rowOff>76200</xdr:rowOff>
    </xdr:to>
    <xdr:graphicFrame macro="">
      <xdr:nvGraphicFramePr>
        <xdr:cNvPr id="45" name="Chart 44">
          <a:extLst>
            <a:ext uri="{FF2B5EF4-FFF2-40B4-BE49-F238E27FC236}">
              <a16:creationId xmlns:a16="http://schemas.microsoft.com/office/drawing/2014/main" id="{E02C9A21-EE6C-45A0-986F-6D3D341C1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0</xdr:colOff>
      <xdr:row>199</xdr:row>
      <xdr:rowOff>0</xdr:rowOff>
    </xdr:from>
    <xdr:to>
      <xdr:col>8</xdr:col>
      <xdr:colOff>333375</xdr:colOff>
      <xdr:row>213</xdr:row>
      <xdr:rowOff>76200</xdr:rowOff>
    </xdr:to>
    <xdr:graphicFrame macro="">
      <xdr:nvGraphicFramePr>
        <xdr:cNvPr id="47" name="Chart 46">
          <a:extLst>
            <a:ext uri="{FF2B5EF4-FFF2-40B4-BE49-F238E27FC236}">
              <a16:creationId xmlns:a16="http://schemas.microsoft.com/office/drawing/2014/main" id="{80C77A23-4C5D-4636-BBCC-2005D7B91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0</xdr:colOff>
      <xdr:row>216</xdr:row>
      <xdr:rowOff>0</xdr:rowOff>
    </xdr:from>
    <xdr:to>
      <xdr:col>8</xdr:col>
      <xdr:colOff>333375</xdr:colOff>
      <xdr:row>230</xdr:row>
      <xdr:rowOff>76200</xdr:rowOff>
    </xdr:to>
    <xdr:graphicFrame macro="">
      <xdr:nvGraphicFramePr>
        <xdr:cNvPr id="49" name="Chart 48">
          <a:extLst>
            <a:ext uri="{FF2B5EF4-FFF2-40B4-BE49-F238E27FC236}">
              <a16:creationId xmlns:a16="http://schemas.microsoft.com/office/drawing/2014/main" id="{21A3DD4F-DB59-4AB2-870E-E3CA63ECB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0</xdr:colOff>
      <xdr:row>131</xdr:row>
      <xdr:rowOff>0</xdr:rowOff>
    </xdr:from>
    <xdr:to>
      <xdr:col>8</xdr:col>
      <xdr:colOff>333375</xdr:colOff>
      <xdr:row>145</xdr:row>
      <xdr:rowOff>76200</xdr:rowOff>
    </xdr:to>
    <xdr:graphicFrame macro="">
      <xdr:nvGraphicFramePr>
        <xdr:cNvPr id="50" name="Chart 49">
          <a:extLst>
            <a:ext uri="{FF2B5EF4-FFF2-40B4-BE49-F238E27FC236}">
              <a16:creationId xmlns:a16="http://schemas.microsoft.com/office/drawing/2014/main" id="{E94D5955-8A53-44AB-9828-E494786FC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9</xdr:col>
      <xdr:colOff>0</xdr:colOff>
      <xdr:row>131</xdr:row>
      <xdr:rowOff>0</xdr:rowOff>
    </xdr:from>
    <xdr:to>
      <xdr:col>15</xdr:col>
      <xdr:colOff>333375</xdr:colOff>
      <xdr:row>145</xdr:row>
      <xdr:rowOff>76200</xdr:rowOff>
    </xdr:to>
    <xdr:graphicFrame macro="">
      <xdr:nvGraphicFramePr>
        <xdr:cNvPr id="52" name="Chart 51">
          <a:extLst>
            <a:ext uri="{FF2B5EF4-FFF2-40B4-BE49-F238E27FC236}">
              <a16:creationId xmlns:a16="http://schemas.microsoft.com/office/drawing/2014/main" id="{B5DCE7C4-0BE0-4A41-B452-E6DCE94F0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0</xdr:rowOff>
    </xdr:from>
    <xdr:to>
      <xdr:col>1</xdr:col>
      <xdr:colOff>581025</xdr:colOff>
      <xdr:row>17</xdr:row>
      <xdr:rowOff>104775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D762551D-7E6C-443E-A4F4-83B6516EF5DF}"/>
            </a:ext>
          </a:extLst>
        </xdr:cNvPr>
        <xdr:cNvSpPr/>
      </xdr:nvSpPr>
      <xdr:spPr>
        <a:xfrm>
          <a:off x="180975" y="3200400"/>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20</xdr:row>
      <xdr:rowOff>0</xdr:rowOff>
    </xdr:from>
    <xdr:to>
      <xdr:col>1</xdr:col>
      <xdr:colOff>581025</xdr:colOff>
      <xdr:row>21</xdr:row>
      <xdr:rowOff>104775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6D84E782-BD49-4B9C-9243-520F0C685A81}"/>
            </a:ext>
          </a:extLst>
        </xdr:cNvPr>
        <xdr:cNvSpPr/>
      </xdr:nvSpPr>
      <xdr:spPr>
        <a:xfrm>
          <a:off x="180975" y="40005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22</xdr:row>
      <xdr:rowOff>0</xdr:rowOff>
    </xdr:from>
    <xdr:to>
      <xdr:col>1</xdr:col>
      <xdr:colOff>581025</xdr:colOff>
      <xdr:row>23</xdr:row>
      <xdr:rowOff>104775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ED064A2C-3E40-4958-83E7-AE91CC0A8EF8}"/>
            </a:ext>
          </a:extLst>
        </xdr:cNvPr>
        <xdr:cNvSpPr/>
      </xdr:nvSpPr>
      <xdr:spPr>
        <a:xfrm>
          <a:off x="180975" y="44005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24</xdr:row>
      <xdr:rowOff>0</xdr:rowOff>
    </xdr:from>
    <xdr:to>
      <xdr:col>1</xdr:col>
      <xdr:colOff>581025</xdr:colOff>
      <xdr:row>25</xdr:row>
      <xdr:rowOff>104775</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FA2B2A01-40F1-4BC8-A1C2-0F90CC3710D4}"/>
            </a:ext>
          </a:extLst>
        </xdr:cNvPr>
        <xdr:cNvSpPr/>
      </xdr:nvSpPr>
      <xdr:spPr>
        <a:xfrm>
          <a:off x="180975" y="48006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26</xdr:row>
      <xdr:rowOff>0</xdr:rowOff>
    </xdr:from>
    <xdr:to>
      <xdr:col>1</xdr:col>
      <xdr:colOff>581025</xdr:colOff>
      <xdr:row>27</xdr:row>
      <xdr:rowOff>104775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2F9401FE-5EFF-4FFD-8681-055E1680577F}"/>
            </a:ext>
          </a:extLst>
        </xdr:cNvPr>
        <xdr:cNvSpPr/>
      </xdr:nvSpPr>
      <xdr:spPr>
        <a:xfrm>
          <a:off x="180975" y="52006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28</xdr:row>
      <xdr:rowOff>0</xdr:rowOff>
    </xdr:from>
    <xdr:to>
      <xdr:col>1</xdr:col>
      <xdr:colOff>581025</xdr:colOff>
      <xdr:row>29</xdr:row>
      <xdr:rowOff>104775</xdr:rowOff>
    </xdr:to>
    <xdr:sp macro="" textlink="">
      <xdr:nvSpPr>
        <xdr:cNvPr id="11" name="Rectangle: Rounded Corners 10">
          <a:hlinkClick xmlns:r="http://schemas.openxmlformats.org/officeDocument/2006/relationships" r:id="rId6"/>
          <a:extLst>
            <a:ext uri="{FF2B5EF4-FFF2-40B4-BE49-F238E27FC236}">
              <a16:creationId xmlns:a16="http://schemas.microsoft.com/office/drawing/2014/main" id="{12A06509-C81F-4C3E-8867-EC82CC6B1EF9}"/>
            </a:ext>
          </a:extLst>
        </xdr:cNvPr>
        <xdr:cNvSpPr/>
      </xdr:nvSpPr>
      <xdr:spPr>
        <a:xfrm>
          <a:off x="180975" y="56007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30</xdr:row>
      <xdr:rowOff>0</xdr:rowOff>
    </xdr:from>
    <xdr:to>
      <xdr:col>1</xdr:col>
      <xdr:colOff>581025</xdr:colOff>
      <xdr:row>31</xdr:row>
      <xdr:rowOff>104775</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A539A8EC-AF7C-4183-91D3-8C9D325ED5A6}"/>
            </a:ext>
          </a:extLst>
        </xdr:cNvPr>
        <xdr:cNvSpPr/>
      </xdr:nvSpPr>
      <xdr:spPr>
        <a:xfrm>
          <a:off x="180975" y="60007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32</xdr:row>
      <xdr:rowOff>0</xdr:rowOff>
    </xdr:from>
    <xdr:to>
      <xdr:col>1</xdr:col>
      <xdr:colOff>581025</xdr:colOff>
      <xdr:row>33</xdr:row>
      <xdr:rowOff>104775</xdr:rowOff>
    </xdr:to>
    <xdr:sp macro="" textlink="">
      <xdr:nvSpPr>
        <xdr:cNvPr id="13" name="Rectangle: Rounded Corners 12">
          <a:hlinkClick xmlns:r="http://schemas.openxmlformats.org/officeDocument/2006/relationships" r:id="rId8"/>
          <a:extLst>
            <a:ext uri="{FF2B5EF4-FFF2-40B4-BE49-F238E27FC236}">
              <a16:creationId xmlns:a16="http://schemas.microsoft.com/office/drawing/2014/main" id="{D7F4237D-4D0C-4FDA-8B98-EF15BEC907A1}"/>
            </a:ext>
          </a:extLst>
        </xdr:cNvPr>
        <xdr:cNvSpPr/>
      </xdr:nvSpPr>
      <xdr:spPr>
        <a:xfrm>
          <a:off x="180975" y="64008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18</xdr:row>
      <xdr:rowOff>0</xdr:rowOff>
    </xdr:from>
    <xdr:to>
      <xdr:col>1</xdr:col>
      <xdr:colOff>581025</xdr:colOff>
      <xdr:row>19</xdr:row>
      <xdr:rowOff>104775</xdr:rowOff>
    </xdr:to>
    <xdr:sp macro="" textlink="">
      <xdr:nvSpPr>
        <xdr:cNvPr id="2" name="Rectangle: Rounded Corners 1">
          <a:hlinkClick xmlns:r="http://schemas.openxmlformats.org/officeDocument/2006/relationships" r:id="rId6"/>
          <a:extLst>
            <a:ext uri="{FF2B5EF4-FFF2-40B4-BE49-F238E27FC236}">
              <a16:creationId xmlns:a16="http://schemas.microsoft.com/office/drawing/2014/main" id="{BAB68D2B-1DE2-4030-836C-76AD74C76066}"/>
            </a:ext>
          </a:extLst>
        </xdr:cNvPr>
        <xdr:cNvSpPr/>
      </xdr:nvSpPr>
      <xdr:spPr>
        <a:xfrm>
          <a:off x="180975" y="36004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34</xdr:row>
      <xdr:rowOff>0</xdr:rowOff>
    </xdr:from>
    <xdr:to>
      <xdr:col>1</xdr:col>
      <xdr:colOff>581025</xdr:colOff>
      <xdr:row>35</xdr:row>
      <xdr:rowOff>104775</xdr:rowOff>
    </xdr:to>
    <xdr:sp macro="" textlink="">
      <xdr:nvSpPr>
        <xdr:cNvPr id="21" name="Rectangle: Rounded Corners 20">
          <a:hlinkClick xmlns:r="http://schemas.openxmlformats.org/officeDocument/2006/relationships" r:id="rId9"/>
          <a:extLst>
            <a:ext uri="{FF2B5EF4-FFF2-40B4-BE49-F238E27FC236}">
              <a16:creationId xmlns:a16="http://schemas.microsoft.com/office/drawing/2014/main" id="{92661D45-BCD5-4B4D-885C-F4101DE12EE7}"/>
            </a:ext>
          </a:extLst>
        </xdr:cNvPr>
        <xdr:cNvSpPr/>
      </xdr:nvSpPr>
      <xdr:spPr>
        <a:xfrm>
          <a:off x="180975" y="68008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36</xdr:row>
      <xdr:rowOff>0</xdr:rowOff>
    </xdr:from>
    <xdr:to>
      <xdr:col>1</xdr:col>
      <xdr:colOff>581025</xdr:colOff>
      <xdr:row>37</xdr:row>
      <xdr:rowOff>104775</xdr:rowOff>
    </xdr:to>
    <xdr:sp macro="" textlink="">
      <xdr:nvSpPr>
        <xdr:cNvPr id="22" name="Rectangle: Rounded Corners 21">
          <a:hlinkClick xmlns:r="http://schemas.openxmlformats.org/officeDocument/2006/relationships" r:id="rId10"/>
          <a:extLst>
            <a:ext uri="{FF2B5EF4-FFF2-40B4-BE49-F238E27FC236}">
              <a16:creationId xmlns:a16="http://schemas.microsoft.com/office/drawing/2014/main" id="{6A214F7F-FA43-4518-AA28-C29C6931F4D9}"/>
            </a:ext>
          </a:extLst>
        </xdr:cNvPr>
        <xdr:cNvSpPr/>
      </xdr:nvSpPr>
      <xdr:spPr>
        <a:xfrm>
          <a:off x="180975" y="72009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581025</xdr:colOff>
      <xdr:row>10</xdr:row>
      <xdr:rowOff>104775</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F1BD3585-BD3F-41A1-B5E5-312FD44E98C2}"/>
            </a:ext>
          </a:extLst>
        </xdr:cNvPr>
        <xdr:cNvSpPr/>
      </xdr:nvSpPr>
      <xdr:spPr>
        <a:xfrm>
          <a:off x="180975" y="18002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13</xdr:row>
      <xdr:rowOff>0</xdr:rowOff>
    </xdr:from>
    <xdr:to>
      <xdr:col>1</xdr:col>
      <xdr:colOff>581025</xdr:colOff>
      <xdr:row>14</xdr:row>
      <xdr:rowOff>104775</xdr:rowOff>
    </xdr:to>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B5DB7FB5-0EFC-4B0F-9670-65150B13454D}"/>
            </a:ext>
          </a:extLst>
        </xdr:cNvPr>
        <xdr:cNvSpPr/>
      </xdr:nvSpPr>
      <xdr:spPr>
        <a:xfrm>
          <a:off x="180975" y="26003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15</xdr:row>
      <xdr:rowOff>0</xdr:rowOff>
    </xdr:from>
    <xdr:to>
      <xdr:col>1</xdr:col>
      <xdr:colOff>581025</xdr:colOff>
      <xdr:row>16</xdr:row>
      <xdr:rowOff>104775</xdr:rowOff>
    </xdr:to>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E69B44A3-EFCB-4F6E-8D93-EBC01A137AC9}"/>
            </a:ext>
          </a:extLst>
        </xdr:cNvPr>
        <xdr:cNvSpPr/>
      </xdr:nvSpPr>
      <xdr:spPr>
        <a:xfrm>
          <a:off x="180975" y="30003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17</xdr:row>
      <xdr:rowOff>0</xdr:rowOff>
    </xdr:from>
    <xdr:to>
      <xdr:col>1</xdr:col>
      <xdr:colOff>581025</xdr:colOff>
      <xdr:row>18</xdr:row>
      <xdr:rowOff>104775</xdr:rowOff>
    </xdr:to>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A9EF703C-9364-4987-A20F-A731B4FBE103}"/>
            </a:ext>
          </a:extLst>
        </xdr:cNvPr>
        <xdr:cNvSpPr/>
      </xdr:nvSpPr>
      <xdr:spPr>
        <a:xfrm>
          <a:off x="180975" y="34004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19</xdr:row>
      <xdr:rowOff>0</xdr:rowOff>
    </xdr:from>
    <xdr:to>
      <xdr:col>1</xdr:col>
      <xdr:colOff>581025</xdr:colOff>
      <xdr:row>20</xdr:row>
      <xdr:rowOff>104775</xdr:rowOff>
    </xdr:to>
    <xdr:sp macro="" textlink="">
      <xdr:nvSpPr>
        <xdr:cNvPr id="15" name="Rectangle: Rounded Corners 14">
          <a:hlinkClick xmlns:r="http://schemas.openxmlformats.org/officeDocument/2006/relationships" r:id="rId5"/>
          <a:extLst>
            <a:ext uri="{FF2B5EF4-FFF2-40B4-BE49-F238E27FC236}">
              <a16:creationId xmlns:a16="http://schemas.microsoft.com/office/drawing/2014/main" id="{7F799526-6764-43B8-A33D-FA28E98C10FB}"/>
            </a:ext>
          </a:extLst>
        </xdr:cNvPr>
        <xdr:cNvSpPr/>
      </xdr:nvSpPr>
      <xdr:spPr>
        <a:xfrm>
          <a:off x="180975" y="38004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21</xdr:row>
      <xdr:rowOff>0</xdr:rowOff>
    </xdr:from>
    <xdr:to>
      <xdr:col>1</xdr:col>
      <xdr:colOff>581025</xdr:colOff>
      <xdr:row>22</xdr:row>
      <xdr:rowOff>104775</xdr:rowOff>
    </xdr:to>
    <xdr:sp macro="" textlink="">
      <xdr:nvSpPr>
        <xdr:cNvPr id="16" name="Rectangle: Rounded Corners 15">
          <a:hlinkClick xmlns:r="http://schemas.openxmlformats.org/officeDocument/2006/relationships" r:id="rId6"/>
          <a:extLst>
            <a:ext uri="{FF2B5EF4-FFF2-40B4-BE49-F238E27FC236}">
              <a16:creationId xmlns:a16="http://schemas.microsoft.com/office/drawing/2014/main" id="{2848F6A1-19E3-4A2D-A8C0-0F318044013B}"/>
            </a:ext>
          </a:extLst>
        </xdr:cNvPr>
        <xdr:cNvSpPr/>
      </xdr:nvSpPr>
      <xdr:spPr>
        <a:xfrm>
          <a:off x="180975" y="4200525"/>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23</xdr:row>
      <xdr:rowOff>0</xdr:rowOff>
    </xdr:from>
    <xdr:to>
      <xdr:col>1</xdr:col>
      <xdr:colOff>581025</xdr:colOff>
      <xdr:row>24</xdr:row>
      <xdr:rowOff>104775</xdr:rowOff>
    </xdr:to>
    <xdr:sp macro="" textlink="">
      <xdr:nvSpPr>
        <xdr:cNvPr id="17" name="Rectangle: Rounded Corners 16">
          <a:hlinkClick xmlns:r="http://schemas.openxmlformats.org/officeDocument/2006/relationships" r:id="rId7"/>
          <a:extLst>
            <a:ext uri="{FF2B5EF4-FFF2-40B4-BE49-F238E27FC236}">
              <a16:creationId xmlns:a16="http://schemas.microsoft.com/office/drawing/2014/main" id="{9136CC13-E4EA-4DFA-A6A4-33FDC7B0A6A3}"/>
            </a:ext>
          </a:extLst>
        </xdr:cNvPr>
        <xdr:cNvSpPr/>
      </xdr:nvSpPr>
      <xdr:spPr>
        <a:xfrm>
          <a:off x="180975" y="46005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25</xdr:row>
      <xdr:rowOff>0</xdr:rowOff>
    </xdr:from>
    <xdr:to>
      <xdr:col>1</xdr:col>
      <xdr:colOff>581025</xdr:colOff>
      <xdr:row>26</xdr:row>
      <xdr:rowOff>104775</xdr:rowOff>
    </xdr:to>
    <xdr:sp macro="" textlink="">
      <xdr:nvSpPr>
        <xdr:cNvPr id="18" name="Rectangle: Rounded Corners 17">
          <a:hlinkClick xmlns:r="http://schemas.openxmlformats.org/officeDocument/2006/relationships" r:id="rId8"/>
          <a:extLst>
            <a:ext uri="{FF2B5EF4-FFF2-40B4-BE49-F238E27FC236}">
              <a16:creationId xmlns:a16="http://schemas.microsoft.com/office/drawing/2014/main" id="{35A08C4D-4EDB-4D03-AF75-3784F7B68913}"/>
            </a:ext>
          </a:extLst>
        </xdr:cNvPr>
        <xdr:cNvSpPr/>
      </xdr:nvSpPr>
      <xdr:spPr>
        <a:xfrm>
          <a:off x="180975" y="50006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11</xdr:row>
      <xdr:rowOff>0</xdr:rowOff>
    </xdr:from>
    <xdr:to>
      <xdr:col>1</xdr:col>
      <xdr:colOff>581025</xdr:colOff>
      <xdr:row>12</xdr:row>
      <xdr:rowOff>104775</xdr:rowOff>
    </xdr:to>
    <xdr:sp macro="" textlink="">
      <xdr:nvSpPr>
        <xdr:cNvPr id="19" name="Rectangle: Rounded Corners 18">
          <a:hlinkClick xmlns:r="http://schemas.openxmlformats.org/officeDocument/2006/relationships" r:id="rId6"/>
          <a:extLst>
            <a:ext uri="{FF2B5EF4-FFF2-40B4-BE49-F238E27FC236}">
              <a16:creationId xmlns:a16="http://schemas.microsoft.com/office/drawing/2014/main" id="{2DDC5C22-64D1-4238-9709-BC4F753C3ABD}"/>
            </a:ext>
          </a:extLst>
        </xdr:cNvPr>
        <xdr:cNvSpPr/>
      </xdr:nvSpPr>
      <xdr:spPr>
        <a:xfrm>
          <a:off x="180975" y="2200275"/>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27</xdr:row>
      <xdr:rowOff>0</xdr:rowOff>
    </xdr:from>
    <xdr:to>
      <xdr:col>1</xdr:col>
      <xdr:colOff>581025</xdr:colOff>
      <xdr:row>28</xdr:row>
      <xdr:rowOff>104775</xdr:rowOff>
    </xdr:to>
    <xdr:sp macro="" textlink="">
      <xdr:nvSpPr>
        <xdr:cNvPr id="3" name="Rectangle: Rounded Corners 2">
          <a:hlinkClick xmlns:r="http://schemas.openxmlformats.org/officeDocument/2006/relationships" r:id="rId9"/>
          <a:extLst>
            <a:ext uri="{FF2B5EF4-FFF2-40B4-BE49-F238E27FC236}">
              <a16:creationId xmlns:a16="http://schemas.microsoft.com/office/drawing/2014/main" id="{02B5DDDC-32D6-43F7-8967-65A960FD8470}"/>
            </a:ext>
          </a:extLst>
        </xdr:cNvPr>
        <xdr:cNvSpPr/>
      </xdr:nvSpPr>
      <xdr:spPr>
        <a:xfrm>
          <a:off x="180975" y="54006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29</xdr:row>
      <xdr:rowOff>0</xdr:rowOff>
    </xdr:from>
    <xdr:to>
      <xdr:col>1</xdr:col>
      <xdr:colOff>581025</xdr:colOff>
      <xdr:row>30</xdr:row>
      <xdr:rowOff>104775</xdr:rowOff>
    </xdr:to>
    <xdr:sp macro="" textlink="">
      <xdr:nvSpPr>
        <xdr:cNvPr id="4" name="Rectangle: Rounded Corners 3">
          <a:hlinkClick xmlns:r="http://schemas.openxmlformats.org/officeDocument/2006/relationships" r:id="rId10"/>
          <a:extLst>
            <a:ext uri="{FF2B5EF4-FFF2-40B4-BE49-F238E27FC236}">
              <a16:creationId xmlns:a16="http://schemas.microsoft.com/office/drawing/2014/main" id="{2C5D7752-08FF-4F92-A5CF-5806C320121F}"/>
            </a:ext>
          </a:extLst>
        </xdr:cNvPr>
        <xdr:cNvSpPr/>
      </xdr:nvSpPr>
      <xdr:spPr>
        <a:xfrm>
          <a:off x="180975" y="58007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581025</xdr:colOff>
      <xdr:row>10</xdr:row>
      <xdr:rowOff>104775</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1CBB3101-A514-4336-A2C4-6069DC9C93A4}"/>
            </a:ext>
          </a:extLst>
        </xdr:cNvPr>
        <xdr:cNvSpPr/>
      </xdr:nvSpPr>
      <xdr:spPr>
        <a:xfrm>
          <a:off x="180975" y="24003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13</xdr:row>
      <xdr:rowOff>0</xdr:rowOff>
    </xdr:from>
    <xdr:to>
      <xdr:col>1</xdr:col>
      <xdr:colOff>581025</xdr:colOff>
      <xdr:row>14</xdr:row>
      <xdr:rowOff>104775</xdr:rowOff>
    </xdr:to>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11836D6E-D902-4EA7-8D20-66ECFA383437}"/>
            </a:ext>
          </a:extLst>
        </xdr:cNvPr>
        <xdr:cNvSpPr/>
      </xdr:nvSpPr>
      <xdr:spPr>
        <a:xfrm>
          <a:off x="180975" y="3200400"/>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15</xdr:row>
      <xdr:rowOff>0</xdr:rowOff>
    </xdr:from>
    <xdr:to>
      <xdr:col>1</xdr:col>
      <xdr:colOff>581025</xdr:colOff>
      <xdr:row>16</xdr:row>
      <xdr:rowOff>104775</xdr:rowOff>
    </xdr:to>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F531EC6D-3966-4CEC-A9B8-288693858357}"/>
            </a:ext>
          </a:extLst>
        </xdr:cNvPr>
        <xdr:cNvSpPr/>
      </xdr:nvSpPr>
      <xdr:spPr>
        <a:xfrm>
          <a:off x="180975" y="36004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17</xdr:row>
      <xdr:rowOff>0</xdr:rowOff>
    </xdr:from>
    <xdr:to>
      <xdr:col>1</xdr:col>
      <xdr:colOff>581025</xdr:colOff>
      <xdr:row>18</xdr:row>
      <xdr:rowOff>104775</xdr:rowOff>
    </xdr:to>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73FB61EF-2BDB-4260-8A3B-E813B47A0386}"/>
            </a:ext>
          </a:extLst>
        </xdr:cNvPr>
        <xdr:cNvSpPr/>
      </xdr:nvSpPr>
      <xdr:spPr>
        <a:xfrm>
          <a:off x="180975" y="40005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19</xdr:row>
      <xdr:rowOff>0</xdr:rowOff>
    </xdr:from>
    <xdr:to>
      <xdr:col>1</xdr:col>
      <xdr:colOff>581025</xdr:colOff>
      <xdr:row>20</xdr:row>
      <xdr:rowOff>104775</xdr:rowOff>
    </xdr:to>
    <xdr:sp macro="" textlink="">
      <xdr:nvSpPr>
        <xdr:cNvPr id="15" name="Rectangle: Rounded Corners 14">
          <a:hlinkClick xmlns:r="http://schemas.openxmlformats.org/officeDocument/2006/relationships" r:id="rId5"/>
          <a:extLst>
            <a:ext uri="{FF2B5EF4-FFF2-40B4-BE49-F238E27FC236}">
              <a16:creationId xmlns:a16="http://schemas.microsoft.com/office/drawing/2014/main" id="{5DE47A0C-DBCF-458F-9FA9-33BB9746DB6A}"/>
            </a:ext>
          </a:extLst>
        </xdr:cNvPr>
        <xdr:cNvSpPr/>
      </xdr:nvSpPr>
      <xdr:spPr>
        <a:xfrm>
          <a:off x="180975" y="44005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21</xdr:row>
      <xdr:rowOff>0</xdr:rowOff>
    </xdr:from>
    <xdr:to>
      <xdr:col>1</xdr:col>
      <xdr:colOff>581025</xdr:colOff>
      <xdr:row>22</xdr:row>
      <xdr:rowOff>104775</xdr:rowOff>
    </xdr:to>
    <xdr:sp macro="" textlink="">
      <xdr:nvSpPr>
        <xdr:cNvPr id="16" name="Rectangle: Rounded Corners 15">
          <a:hlinkClick xmlns:r="http://schemas.openxmlformats.org/officeDocument/2006/relationships" r:id="rId6"/>
          <a:extLst>
            <a:ext uri="{FF2B5EF4-FFF2-40B4-BE49-F238E27FC236}">
              <a16:creationId xmlns:a16="http://schemas.microsoft.com/office/drawing/2014/main" id="{A23D56A9-21AB-4602-81AC-0E5A3B8C9DD6}"/>
            </a:ext>
          </a:extLst>
        </xdr:cNvPr>
        <xdr:cNvSpPr/>
      </xdr:nvSpPr>
      <xdr:spPr>
        <a:xfrm>
          <a:off x="180975" y="48006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23</xdr:row>
      <xdr:rowOff>0</xdr:rowOff>
    </xdr:from>
    <xdr:to>
      <xdr:col>1</xdr:col>
      <xdr:colOff>581025</xdr:colOff>
      <xdr:row>24</xdr:row>
      <xdr:rowOff>104775</xdr:rowOff>
    </xdr:to>
    <xdr:sp macro="" textlink="">
      <xdr:nvSpPr>
        <xdr:cNvPr id="17" name="Rectangle: Rounded Corners 16">
          <a:hlinkClick xmlns:r="http://schemas.openxmlformats.org/officeDocument/2006/relationships" r:id="rId7"/>
          <a:extLst>
            <a:ext uri="{FF2B5EF4-FFF2-40B4-BE49-F238E27FC236}">
              <a16:creationId xmlns:a16="http://schemas.microsoft.com/office/drawing/2014/main" id="{3247C0BA-0049-471E-A110-5F5242F66933}"/>
            </a:ext>
          </a:extLst>
        </xdr:cNvPr>
        <xdr:cNvSpPr/>
      </xdr:nvSpPr>
      <xdr:spPr>
        <a:xfrm>
          <a:off x="180975" y="52006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25</xdr:row>
      <xdr:rowOff>0</xdr:rowOff>
    </xdr:from>
    <xdr:to>
      <xdr:col>1</xdr:col>
      <xdr:colOff>581025</xdr:colOff>
      <xdr:row>26</xdr:row>
      <xdr:rowOff>104775</xdr:rowOff>
    </xdr:to>
    <xdr:sp macro="" textlink="">
      <xdr:nvSpPr>
        <xdr:cNvPr id="18" name="Rectangle: Rounded Corners 17">
          <a:hlinkClick xmlns:r="http://schemas.openxmlformats.org/officeDocument/2006/relationships" r:id="rId8"/>
          <a:extLst>
            <a:ext uri="{FF2B5EF4-FFF2-40B4-BE49-F238E27FC236}">
              <a16:creationId xmlns:a16="http://schemas.microsoft.com/office/drawing/2014/main" id="{B4609718-8217-4E84-B4BB-A67665656F42}"/>
            </a:ext>
          </a:extLst>
        </xdr:cNvPr>
        <xdr:cNvSpPr/>
      </xdr:nvSpPr>
      <xdr:spPr>
        <a:xfrm>
          <a:off x="180975" y="56007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11</xdr:row>
      <xdr:rowOff>0</xdr:rowOff>
    </xdr:from>
    <xdr:to>
      <xdr:col>1</xdr:col>
      <xdr:colOff>581025</xdr:colOff>
      <xdr:row>12</xdr:row>
      <xdr:rowOff>104775</xdr:rowOff>
    </xdr:to>
    <xdr:sp macro="" textlink="">
      <xdr:nvSpPr>
        <xdr:cNvPr id="19" name="Rectangle: Rounded Corners 18">
          <a:hlinkClick xmlns:r="http://schemas.openxmlformats.org/officeDocument/2006/relationships" r:id="rId6"/>
          <a:extLst>
            <a:ext uri="{FF2B5EF4-FFF2-40B4-BE49-F238E27FC236}">
              <a16:creationId xmlns:a16="http://schemas.microsoft.com/office/drawing/2014/main" id="{DE55A65B-24C4-4A45-AFAE-B402BE079830}"/>
            </a:ext>
          </a:extLst>
        </xdr:cNvPr>
        <xdr:cNvSpPr/>
      </xdr:nvSpPr>
      <xdr:spPr>
        <a:xfrm>
          <a:off x="180975" y="28003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27</xdr:row>
      <xdr:rowOff>0</xdr:rowOff>
    </xdr:from>
    <xdr:to>
      <xdr:col>1</xdr:col>
      <xdr:colOff>581025</xdr:colOff>
      <xdr:row>28</xdr:row>
      <xdr:rowOff>104775</xdr:rowOff>
    </xdr:to>
    <xdr:sp macro="" textlink="">
      <xdr:nvSpPr>
        <xdr:cNvPr id="3" name="Rectangle: Rounded Corners 2">
          <a:hlinkClick xmlns:r="http://schemas.openxmlformats.org/officeDocument/2006/relationships" r:id="rId9"/>
          <a:extLst>
            <a:ext uri="{FF2B5EF4-FFF2-40B4-BE49-F238E27FC236}">
              <a16:creationId xmlns:a16="http://schemas.microsoft.com/office/drawing/2014/main" id="{A054E0B4-C7E6-4685-9528-930CF43FE40A}"/>
            </a:ext>
          </a:extLst>
        </xdr:cNvPr>
        <xdr:cNvSpPr/>
      </xdr:nvSpPr>
      <xdr:spPr>
        <a:xfrm>
          <a:off x="180975" y="54006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29</xdr:row>
      <xdr:rowOff>0</xdr:rowOff>
    </xdr:from>
    <xdr:to>
      <xdr:col>1</xdr:col>
      <xdr:colOff>581025</xdr:colOff>
      <xdr:row>30</xdr:row>
      <xdr:rowOff>104775</xdr:rowOff>
    </xdr:to>
    <xdr:sp macro="" textlink="">
      <xdr:nvSpPr>
        <xdr:cNvPr id="4" name="Rectangle: Rounded Corners 3">
          <a:hlinkClick xmlns:r="http://schemas.openxmlformats.org/officeDocument/2006/relationships" r:id="rId10"/>
          <a:extLst>
            <a:ext uri="{FF2B5EF4-FFF2-40B4-BE49-F238E27FC236}">
              <a16:creationId xmlns:a16="http://schemas.microsoft.com/office/drawing/2014/main" id="{3649818D-A828-4C49-91D5-77189BE7FC75}"/>
            </a:ext>
          </a:extLst>
        </xdr:cNvPr>
        <xdr:cNvSpPr/>
      </xdr:nvSpPr>
      <xdr:spPr>
        <a:xfrm>
          <a:off x="180975" y="58007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581025</xdr:colOff>
      <xdr:row>10</xdr:row>
      <xdr:rowOff>104775</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342DCC3B-D81E-4FA5-B144-2D9B68E77C5C}"/>
            </a:ext>
          </a:extLst>
        </xdr:cNvPr>
        <xdr:cNvSpPr/>
      </xdr:nvSpPr>
      <xdr:spPr>
        <a:xfrm>
          <a:off x="180975" y="16287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13</xdr:row>
      <xdr:rowOff>28575</xdr:rowOff>
    </xdr:from>
    <xdr:to>
      <xdr:col>1</xdr:col>
      <xdr:colOff>581025</xdr:colOff>
      <xdr:row>14</xdr:row>
      <xdr:rowOff>142875</xdr:rowOff>
    </xdr:to>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C38E340F-9232-4B36-82B9-267301D211A7}"/>
            </a:ext>
          </a:extLst>
        </xdr:cNvPr>
        <xdr:cNvSpPr/>
      </xdr:nvSpPr>
      <xdr:spPr>
        <a:xfrm>
          <a:off x="180975" y="24288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15</xdr:row>
      <xdr:rowOff>47625</xdr:rowOff>
    </xdr:from>
    <xdr:to>
      <xdr:col>1</xdr:col>
      <xdr:colOff>581025</xdr:colOff>
      <xdr:row>16</xdr:row>
      <xdr:rowOff>161925</xdr:rowOff>
    </xdr:to>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BD101A81-1DBA-496A-91D7-9FFAADE86C06}"/>
            </a:ext>
          </a:extLst>
        </xdr:cNvPr>
        <xdr:cNvSpPr/>
      </xdr:nvSpPr>
      <xdr:spPr>
        <a:xfrm>
          <a:off x="180975" y="2828925"/>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17</xdr:row>
      <xdr:rowOff>66675</xdr:rowOff>
    </xdr:from>
    <xdr:to>
      <xdr:col>1</xdr:col>
      <xdr:colOff>581025</xdr:colOff>
      <xdr:row>18</xdr:row>
      <xdr:rowOff>171450</xdr:rowOff>
    </xdr:to>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3F4BB4CE-832D-4C9F-B1A5-DFB90EC35D1F}"/>
            </a:ext>
          </a:extLst>
        </xdr:cNvPr>
        <xdr:cNvSpPr/>
      </xdr:nvSpPr>
      <xdr:spPr>
        <a:xfrm>
          <a:off x="180975" y="32289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19</xdr:row>
      <xdr:rowOff>57150</xdr:rowOff>
    </xdr:from>
    <xdr:to>
      <xdr:col>1</xdr:col>
      <xdr:colOff>581025</xdr:colOff>
      <xdr:row>20</xdr:row>
      <xdr:rowOff>161925</xdr:rowOff>
    </xdr:to>
    <xdr:sp macro="" textlink="">
      <xdr:nvSpPr>
        <xdr:cNvPr id="15" name="Rectangle: Rounded Corners 14">
          <a:hlinkClick xmlns:r="http://schemas.openxmlformats.org/officeDocument/2006/relationships" r:id="rId5"/>
          <a:extLst>
            <a:ext uri="{FF2B5EF4-FFF2-40B4-BE49-F238E27FC236}">
              <a16:creationId xmlns:a16="http://schemas.microsoft.com/office/drawing/2014/main" id="{8E52B7B8-325F-4C47-A0F4-240F649AB918}"/>
            </a:ext>
          </a:extLst>
        </xdr:cNvPr>
        <xdr:cNvSpPr/>
      </xdr:nvSpPr>
      <xdr:spPr>
        <a:xfrm>
          <a:off x="180975" y="36290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21</xdr:row>
      <xdr:rowOff>38100</xdr:rowOff>
    </xdr:from>
    <xdr:to>
      <xdr:col>1</xdr:col>
      <xdr:colOff>581025</xdr:colOff>
      <xdr:row>22</xdr:row>
      <xdr:rowOff>123825</xdr:rowOff>
    </xdr:to>
    <xdr:sp macro="" textlink="">
      <xdr:nvSpPr>
        <xdr:cNvPr id="16" name="Rectangle: Rounded Corners 15">
          <a:hlinkClick xmlns:r="http://schemas.openxmlformats.org/officeDocument/2006/relationships" r:id="rId6"/>
          <a:extLst>
            <a:ext uri="{FF2B5EF4-FFF2-40B4-BE49-F238E27FC236}">
              <a16:creationId xmlns:a16="http://schemas.microsoft.com/office/drawing/2014/main" id="{BDC911B9-7D40-4974-854E-434CF9A6DF63}"/>
            </a:ext>
          </a:extLst>
        </xdr:cNvPr>
        <xdr:cNvSpPr/>
      </xdr:nvSpPr>
      <xdr:spPr>
        <a:xfrm>
          <a:off x="180975" y="40290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23</xdr:row>
      <xdr:rowOff>19050</xdr:rowOff>
    </xdr:from>
    <xdr:to>
      <xdr:col>1</xdr:col>
      <xdr:colOff>581025</xdr:colOff>
      <xdr:row>24</xdr:row>
      <xdr:rowOff>133350</xdr:rowOff>
    </xdr:to>
    <xdr:sp macro="" textlink="">
      <xdr:nvSpPr>
        <xdr:cNvPr id="17" name="Rectangle: Rounded Corners 16">
          <a:hlinkClick xmlns:r="http://schemas.openxmlformats.org/officeDocument/2006/relationships" r:id="rId7"/>
          <a:extLst>
            <a:ext uri="{FF2B5EF4-FFF2-40B4-BE49-F238E27FC236}">
              <a16:creationId xmlns:a16="http://schemas.microsoft.com/office/drawing/2014/main" id="{E342B5DD-2436-4E01-A861-FACED3833B14}"/>
            </a:ext>
          </a:extLst>
        </xdr:cNvPr>
        <xdr:cNvSpPr/>
      </xdr:nvSpPr>
      <xdr:spPr>
        <a:xfrm>
          <a:off x="180975" y="44291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25</xdr:row>
      <xdr:rowOff>38100</xdr:rowOff>
    </xdr:from>
    <xdr:to>
      <xdr:col>1</xdr:col>
      <xdr:colOff>581025</xdr:colOff>
      <xdr:row>26</xdr:row>
      <xdr:rowOff>152400</xdr:rowOff>
    </xdr:to>
    <xdr:sp macro="" textlink="">
      <xdr:nvSpPr>
        <xdr:cNvPr id="18" name="Rectangle: Rounded Corners 17">
          <a:hlinkClick xmlns:r="http://schemas.openxmlformats.org/officeDocument/2006/relationships" r:id="rId8"/>
          <a:extLst>
            <a:ext uri="{FF2B5EF4-FFF2-40B4-BE49-F238E27FC236}">
              <a16:creationId xmlns:a16="http://schemas.microsoft.com/office/drawing/2014/main" id="{D63A30A2-0E4D-4938-A7D9-A9AE7E7E3C88}"/>
            </a:ext>
          </a:extLst>
        </xdr:cNvPr>
        <xdr:cNvSpPr/>
      </xdr:nvSpPr>
      <xdr:spPr>
        <a:xfrm>
          <a:off x="180975" y="48291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11</xdr:row>
      <xdr:rowOff>9525</xdr:rowOff>
    </xdr:from>
    <xdr:to>
      <xdr:col>1</xdr:col>
      <xdr:colOff>581025</xdr:colOff>
      <xdr:row>12</xdr:row>
      <xdr:rowOff>123825</xdr:rowOff>
    </xdr:to>
    <xdr:sp macro="" textlink="">
      <xdr:nvSpPr>
        <xdr:cNvPr id="19" name="Rectangle: Rounded Corners 18">
          <a:hlinkClick xmlns:r="http://schemas.openxmlformats.org/officeDocument/2006/relationships" r:id="rId6"/>
          <a:extLst>
            <a:ext uri="{FF2B5EF4-FFF2-40B4-BE49-F238E27FC236}">
              <a16:creationId xmlns:a16="http://schemas.microsoft.com/office/drawing/2014/main" id="{78334AF0-118C-4C5F-83DD-F6C5630356F9}"/>
            </a:ext>
          </a:extLst>
        </xdr:cNvPr>
        <xdr:cNvSpPr/>
      </xdr:nvSpPr>
      <xdr:spPr>
        <a:xfrm>
          <a:off x="180975" y="20288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27</xdr:row>
      <xdr:rowOff>47625</xdr:rowOff>
    </xdr:from>
    <xdr:to>
      <xdr:col>1</xdr:col>
      <xdr:colOff>581025</xdr:colOff>
      <xdr:row>28</xdr:row>
      <xdr:rowOff>161925</xdr:rowOff>
    </xdr:to>
    <xdr:sp macro="" textlink="">
      <xdr:nvSpPr>
        <xdr:cNvPr id="3" name="Rectangle: Rounded Corners 2">
          <a:hlinkClick xmlns:r="http://schemas.openxmlformats.org/officeDocument/2006/relationships" r:id="rId9"/>
          <a:extLst>
            <a:ext uri="{FF2B5EF4-FFF2-40B4-BE49-F238E27FC236}">
              <a16:creationId xmlns:a16="http://schemas.microsoft.com/office/drawing/2014/main" id="{E60E6D5C-AA83-4B68-88D6-E01665649345}"/>
            </a:ext>
          </a:extLst>
        </xdr:cNvPr>
        <xdr:cNvSpPr/>
      </xdr:nvSpPr>
      <xdr:spPr>
        <a:xfrm>
          <a:off x="180975" y="53625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29</xdr:row>
      <xdr:rowOff>66675</xdr:rowOff>
    </xdr:from>
    <xdr:to>
      <xdr:col>1</xdr:col>
      <xdr:colOff>581025</xdr:colOff>
      <xdr:row>30</xdr:row>
      <xdr:rowOff>180975</xdr:rowOff>
    </xdr:to>
    <xdr:sp macro="" textlink="">
      <xdr:nvSpPr>
        <xdr:cNvPr id="4" name="Rectangle: Rounded Corners 3">
          <a:hlinkClick xmlns:r="http://schemas.openxmlformats.org/officeDocument/2006/relationships" r:id="rId10"/>
          <a:extLst>
            <a:ext uri="{FF2B5EF4-FFF2-40B4-BE49-F238E27FC236}">
              <a16:creationId xmlns:a16="http://schemas.microsoft.com/office/drawing/2014/main" id="{828F2722-0811-42D3-A34E-904ABD4D4D54}"/>
            </a:ext>
          </a:extLst>
        </xdr:cNvPr>
        <xdr:cNvSpPr/>
      </xdr:nvSpPr>
      <xdr:spPr>
        <a:xfrm>
          <a:off x="180975" y="57626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9524</xdr:colOff>
      <xdr:row>11</xdr:row>
      <xdr:rowOff>0</xdr:rowOff>
    </xdr:from>
    <xdr:to>
      <xdr:col>5</xdr:col>
      <xdr:colOff>425450</xdr:colOff>
      <xdr:row>44</xdr:row>
      <xdr:rowOff>0</xdr:rowOff>
    </xdr:to>
    <xdr:sp macro="" textlink="">
      <xdr:nvSpPr>
        <xdr:cNvPr id="2" name="Suorakulmio 1">
          <a:extLst>
            <a:ext uri="{FF2B5EF4-FFF2-40B4-BE49-F238E27FC236}">
              <a16:creationId xmlns:a16="http://schemas.microsoft.com/office/drawing/2014/main" id="{5BAEDB4A-DBEB-0752-A4C9-7548644C3F56}"/>
            </a:ext>
          </a:extLst>
        </xdr:cNvPr>
        <xdr:cNvSpPr/>
      </xdr:nvSpPr>
      <xdr:spPr>
        <a:xfrm>
          <a:off x="4352924" y="2393950"/>
          <a:ext cx="1165226" cy="6108700"/>
        </a:xfrm>
        <a:prstGeom prst="rect">
          <a:avLst/>
        </a:prstGeom>
        <a:solidFill>
          <a:schemeClr val="accent2">
            <a:lumMod val="40000"/>
            <a:lumOff val="60000"/>
            <a:alpha val="67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i-FI" sz="1100">
              <a:solidFill>
                <a:sysClr val="windowText" lastClr="000000"/>
              </a:solidFill>
            </a:rPr>
            <a:t>Toteutuneen tilikauden henkilöstökuluja ei tarvitse</a:t>
          </a:r>
          <a:r>
            <a:rPr lang="fi-FI" sz="1100" baseline="0">
              <a:solidFill>
                <a:sysClr val="windowText" lastClr="000000"/>
              </a:solidFill>
            </a:rPr>
            <a:t> eritellä.</a:t>
          </a:r>
        </a:p>
        <a:p>
          <a:pPr algn="ctr"/>
          <a:endParaRPr lang="fi-FI" sz="1100" baseline="0">
            <a:solidFill>
              <a:sysClr val="windowText" lastClr="000000"/>
            </a:solidFill>
          </a:endParaRPr>
        </a:p>
        <a:p>
          <a:pPr algn="ctr"/>
          <a:r>
            <a:rPr lang="fi-FI" sz="1100" baseline="0">
              <a:solidFill>
                <a:sysClr val="windowText" lastClr="000000"/>
              </a:solidFill>
            </a:rPr>
            <a:t>Henkilöstökulut ovat yhtenä summana taulukossa 2 TULOSSUUN-NITELMA.</a:t>
          </a:r>
          <a:endParaRPr lang="fi-FI" sz="1100">
            <a:solidFill>
              <a:sysClr val="windowText" lastClr="000000"/>
            </a:solidFill>
          </a:endParaRPr>
        </a:p>
      </xdr:txBody>
    </xdr:sp>
    <xdr:clientData/>
  </xdr:twoCellAnchor>
  <xdr:twoCellAnchor>
    <xdr:from>
      <xdr:col>1</xdr:col>
      <xdr:colOff>0</xdr:colOff>
      <xdr:row>10</xdr:row>
      <xdr:rowOff>0</xdr:rowOff>
    </xdr:from>
    <xdr:to>
      <xdr:col>1</xdr:col>
      <xdr:colOff>581025</xdr:colOff>
      <xdr:row>11</xdr:row>
      <xdr:rowOff>114300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3700FEEB-0CAA-410E-9637-C59CCF0D0B36}"/>
            </a:ext>
          </a:extLst>
        </xdr:cNvPr>
        <xdr:cNvSpPr/>
      </xdr:nvSpPr>
      <xdr:spPr>
        <a:xfrm>
          <a:off x="180975" y="22479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14</xdr:row>
      <xdr:rowOff>38100</xdr:rowOff>
    </xdr:from>
    <xdr:to>
      <xdr:col>1</xdr:col>
      <xdr:colOff>581025</xdr:colOff>
      <xdr:row>15</xdr:row>
      <xdr:rowOff>152400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AD38A6D-C2AF-4B4D-8052-234C3AB99378}"/>
            </a:ext>
          </a:extLst>
        </xdr:cNvPr>
        <xdr:cNvSpPr/>
      </xdr:nvSpPr>
      <xdr:spPr>
        <a:xfrm>
          <a:off x="180975" y="30480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16</xdr:row>
      <xdr:rowOff>57150</xdr:rowOff>
    </xdr:from>
    <xdr:to>
      <xdr:col>1</xdr:col>
      <xdr:colOff>581025</xdr:colOff>
      <xdr:row>17</xdr:row>
      <xdr:rowOff>171450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C88B5DB6-B274-46CE-899D-27599718C44C}"/>
            </a:ext>
          </a:extLst>
        </xdr:cNvPr>
        <xdr:cNvSpPr/>
      </xdr:nvSpPr>
      <xdr:spPr>
        <a:xfrm>
          <a:off x="180975" y="34480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18</xdr:row>
      <xdr:rowOff>76200</xdr:rowOff>
    </xdr:from>
    <xdr:to>
      <xdr:col>1</xdr:col>
      <xdr:colOff>581025</xdr:colOff>
      <xdr:row>20</xdr:row>
      <xdr:rowOff>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EA29AC93-1B0A-4814-B520-58E287870B55}"/>
            </a:ext>
          </a:extLst>
        </xdr:cNvPr>
        <xdr:cNvSpPr/>
      </xdr:nvSpPr>
      <xdr:spPr>
        <a:xfrm>
          <a:off x="180975" y="3848100"/>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20</xdr:row>
      <xdr:rowOff>95250</xdr:rowOff>
    </xdr:from>
    <xdr:to>
      <xdr:col>1</xdr:col>
      <xdr:colOff>581025</xdr:colOff>
      <xdr:row>22</xdr:row>
      <xdr:rowOff>19050</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71E7C052-75AE-46B3-BF03-DE9474288C6E}"/>
            </a:ext>
          </a:extLst>
        </xdr:cNvPr>
        <xdr:cNvSpPr/>
      </xdr:nvSpPr>
      <xdr:spPr>
        <a:xfrm>
          <a:off x="180975" y="42481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22</xdr:row>
      <xdr:rowOff>114300</xdr:rowOff>
    </xdr:from>
    <xdr:to>
      <xdr:col>1</xdr:col>
      <xdr:colOff>581025</xdr:colOff>
      <xdr:row>24</xdr:row>
      <xdr:rowOff>38100</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2E63F5D6-090D-4BA0-A13D-8E0DC72B7EB4}"/>
            </a:ext>
          </a:extLst>
        </xdr:cNvPr>
        <xdr:cNvSpPr/>
      </xdr:nvSpPr>
      <xdr:spPr>
        <a:xfrm>
          <a:off x="180975" y="46482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24</xdr:row>
      <xdr:rowOff>133350</xdr:rowOff>
    </xdr:from>
    <xdr:to>
      <xdr:col>1</xdr:col>
      <xdr:colOff>581025</xdr:colOff>
      <xdr:row>26</xdr:row>
      <xdr:rowOff>57150</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BBE85CAF-9B39-41DB-AB72-D08C13A30FF3}"/>
            </a:ext>
          </a:extLst>
        </xdr:cNvPr>
        <xdr:cNvSpPr/>
      </xdr:nvSpPr>
      <xdr:spPr>
        <a:xfrm>
          <a:off x="180975" y="50482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26</xdr:row>
      <xdr:rowOff>152400</xdr:rowOff>
    </xdr:from>
    <xdr:to>
      <xdr:col>1</xdr:col>
      <xdr:colOff>581025</xdr:colOff>
      <xdr:row>28</xdr:row>
      <xdr:rowOff>76200</xdr:rowOff>
    </xdr:to>
    <xdr:sp macro="" textlink="">
      <xdr:nvSpPr>
        <xdr:cNvPr id="10" name="Rectangle: Rounded Corners 9">
          <a:hlinkClick xmlns:r="http://schemas.openxmlformats.org/officeDocument/2006/relationships" r:id="rId8"/>
          <a:extLst>
            <a:ext uri="{FF2B5EF4-FFF2-40B4-BE49-F238E27FC236}">
              <a16:creationId xmlns:a16="http://schemas.microsoft.com/office/drawing/2014/main" id="{E246FC8D-DF31-4F2D-BF42-626B386A2917}"/>
            </a:ext>
          </a:extLst>
        </xdr:cNvPr>
        <xdr:cNvSpPr/>
      </xdr:nvSpPr>
      <xdr:spPr>
        <a:xfrm>
          <a:off x="180975" y="54483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12</xdr:row>
      <xdr:rowOff>19050</xdr:rowOff>
    </xdr:from>
    <xdr:to>
      <xdr:col>1</xdr:col>
      <xdr:colOff>581025</xdr:colOff>
      <xdr:row>13</xdr:row>
      <xdr:rowOff>133350</xdr:rowOff>
    </xdr:to>
    <xdr:sp macro="" textlink="">
      <xdr:nvSpPr>
        <xdr:cNvPr id="11" name="Rectangle: Rounded Corners 10">
          <a:hlinkClick xmlns:r="http://schemas.openxmlformats.org/officeDocument/2006/relationships" r:id="rId6"/>
          <a:extLst>
            <a:ext uri="{FF2B5EF4-FFF2-40B4-BE49-F238E27FC236}">
              <a16:creationId xmlns:a16="http://schemas.microsoft.com/office/drawing/2014/main" id="{B6953AD1-D912-467D-BD8C-59B0B05DC820}"/>
            </a:ext>
          </a:extLst>
        </xdr:cNvPr>
        <xdr:cNvSpPr/>
      </xdr:nvSpPr>
      <xdr:spPr>
        <a:xfrm>
          <a:off x="180975" y="26479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28</xdr:row>
      <xdr:rowOff>171450</xdr:rowOff>
    </xdr:from>
    <xdr:to>
      <xdr:col>1</xdr:col>
      <xdr:colOff>581025</xdr:colOff>
      <xdr:row>30</xdr:row>
      <xdr:rowOff>85725</xdr:rowOff>
    </xdr:to>
    <xdr:sp macro="" textlink="">
      <xdr:nvSpPr>
        <xdr:cNvPr id="13" name="Rectangle: Rounded Corners 12">
          <a:hlinkClick xmlns:r="http://schemas.openxmlformats.org/officeDocument/2006/relationships" r:id="rId9"/>
          <a:extLst>
            <a:ext uri="{FF2B5EF4-FFF2-40B4-BE49-F238E27FC236}">
              <a16:creationId xmlns:a16="http://schemas.microsoft.com/office/drawing/2014/main" id="{1CC5DC53-EF8E-40F4-9ED1-087764F2DAC8}"/>
            </a:ext>
          </a:extLst>
        </xdr:cNvPr>
        <xdr:cNvSpPr/>
      </xdr:nvSpPr>
      <xdr:spPr>
        <a:xfrm>
          <a:off x="180975" y="55626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30</xdr:row>
      <xdr:rowOff>180975</xdr:rowOff>
    </xdr:from>
    <xdr:to>
      <xdr:col>1</xdr:col>
      <xdr:colOff>581025</xdr:colOff>
      <xdr:row>32</xdr:row>
      <xdr:rowOff>104775</xdr:rowOff>
    </xdr:to>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974FC558-3D4F-4210-928F-144F517F176C}"/>
            </a:ext>
          </a:extLst>
        </xdr:cNvPr>
        <xdr:cNvSpPr/>
      </xdr:nvSpPr>
      <xdr:spPr>
        <a:xfrm>
          <a:off x="180975" y="59626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581025</xdr:colOff>
      <xdr:row>10</xdr:row>
      <xdr:rowOff>114300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DC87057-DE72-4013-A2FC-AAA0B135107B}"/>
            </a:ext>
          </a:extLst>
        </xdr:cNvPr>
        <xdr:cNvSpPr/>
      </xdr:nvSpPr>
      <xdr:spPr>
        <a:xfrm>
          <a:off x="180975" y="18002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13</xdr:row>
      <xdr:rowOff>38100</xdr:rowOff>
    </xdr:from>
    <xdr:to>
      <xdr:col>1</xdr:col>
      <xdr:colOff>581025</xdr:colOff>
      <xdr:row>14</xdr:row>
      <xdr:rowOff>152400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28F4E0D8-928A-4434-AB0E-557411726ADE}"/>
            </a:ext>
          </a:extLst>
        </xdr:cNvPr>
        <xdr:cNvSpPr/>
      </xdr:nvSpPr>
      <xdr:spPr>
        <a:xfrm>
          <a:off x="180975" y="26003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15</xdr:row>
      <xdr:rowOff>57150</xdr:rowOff>
    </xdr:from>
    <xdr:to>
      <xdr:col>1</xdr:col>
      <xdr:colOff>581025</xdr:colOff>
      <xdr:row>16</xdr:row>
      <xdr:rowOff>171450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696EF397-CDB0-48BE-B6F8-52BE16A742FE}"/>
            </a:ext>
          </a:extLst>
        </xdr:cNvPr>
        <xdr:cNvSpPr/>
      </xdr:nvSpPr>
      <xdr:spPr>
        <a:xfrm>
          <a:off x="180975" y="30003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17</xdr:row>
      <xdr:rowOff>76200</xdr:rowOff>
    </xdr:from>
    <xdr:to>
      <xdr:col>1</xdr:col>
      <xdr:colOff>581025</xdr:colOff>
      <xdr:row>19</xdr:row>
      <xdr:rowOff>0</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D6E0E1F6-7E30-4BDD-875F-3408B3D0A3DD}"/>
            </a:ext>
          </a:extLst>
        </xdr:cNvPr>
        <xdr:cNvSpPr/>
      </xdr:nvSpPr>
      <xdr:spPr>
        <a:xfrm>
          <a:off x="180975" y="34004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19</xdr:row>
      <xdr:rowOff>95250</xdr:rowOff>
    </xdr:from>
    <xdr:to>
      <xdr:col>1</xdr:col>
      <xdr:colOff>581025</xdr:colOff>
      <xdr:row>21</xdr:row>
      <xdr:rowOff>19050</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C290099B-2DC5-4B01-9582-C854117D7010}"/>
            </a:ext>
          </a:extLst>
        </xdr:cNvPr>
        <xdr:cNvSpPr/>
      </xdr:nvSpPr>
      <xdr:spPr>
        <a:xfrm>
          <a:off x="180975" y="3800475"/>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21</xdr:row>
      <xdr:rowOff>114300</xdr:rowOff>
    </xdr:from>
    <xdr:to>
      <xdr:col>1</xdr:col>
      <xdr:colOff>581025</xdr:colOff>
      <xdr:row>23</xdr:row>
      <xdr:rowOff>38100</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5EFDB706-3CEC-4382-893C-A1DF6392F54B}"/>
            </a:ext>
          </a:extLst>
        </xdr:cNvPr>
        <xdr:cNvSpPr/>
      </xdr:nvSpPr>
      <xdr:spPr>
        <a:xfrm>
          <a:off x="180975" y="42005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23</xdr:row>
      <xdr:rowOff>133350</xdr:rowOff>
    </xdr:from>
    <xdr:to>
      <xdr:col>1</xdr:col>
      <xdr:colOff>581025</xdr:colOff>
      <xdr:row>25</xdr:row>
      <xdr:rowOff>57150</xdr:rowOff>
    </xdr:to>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2688BF39-EAB7-4732-B7E5-FF25C47ABB24}"/>
            </a:ext>
          </a:extLst>
        </xdr:cNvPr>
        <xdr:cNvSpPr/>
      </xdr:nvSpPr>
      <xdr:spPr>
        <a:xfrm>
          <a:off x="180975" y="46005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25</xdr:row>
      <xdr:rowOff>152400</xdr:rowOff>
    </xdr:from>
    <xdr:to>
      <xdr:col>1</xdr:col>
      <xdr:colOff>581025</xdr:colOff>
      <xdr:row>27</xdr:row>
      <xdr:rowOff>76200</xdr:rowOff>
    </xdr:to>
    <xdr:sp macro="" textlink="">
      <xdr:nvSpPr>
        <xdr:cNvPr id="9" name="Rectangle: Rounded Corners 8">
          <a:hlinkClick xmlns:r="http://schemas.openxmlformats.org/officeDocument/2006/relationships" r:id="rId8"/>
          <a:extLst>
            <a:ext uri="{FF2B5EF4-FFF2-40B4-BE49-F238E27FC236}">
              <a16:creationId xmlns:a16="http://schemas.microsoft.com/office/drawing/2014/main" id="{82687D14-7ACF-4894-A963-0A404092BAC7}"/>
            </a:ext>
          </a:extLst>
        </xdr:cNvPr>
        <xdr:cNvSpPr/>
      </xdr:nvSpPr>
      <xdr:spPr>
        <a:xfrm>
          <a:off x="180975" y="50006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11</xdr:row>
      <xdr:rowOff>19050</xdr:rowOff>
    </xdr:from>
    <xdr:to>
      <xdr:col>1</xdr:col>
      <xdr:colOff>581025</xdr:colOff>
      <xdr:row>12</xdr:row>
      <xdr:rowOff>133350</xdr:rowOff>
    </xdr:to>
    <xdr:sp macro="" textlink="">
      <xdr:nvSpPr>
        <xdr:cNvPr id="10" name="Rectangle: Rounded Corners 9">
          <a:hlinkClick xmlns:r="http://schemas.openxmlformats.org/officeDocument/2006/relationships" r:id="rId6"/>
          <a:extLst>
            <a:ext uri="{FF2B5EF4-FFF2-40B4-BE49-F238E27FC236}">
              <a16:creationId xmlns:a16="http://schemas.microsoft.com/office/drawing/2014/main" id="{A85C6AFA-2023-4564-938B-D2ED354AC99F}"/>
            </a:ext>
          </a:extLst>
        </xdr:cNvPr>
        <xdr:cNvSpPr/>
      </xdr:nvSpPr>
      <xdr:spPr>
        <a:xfrm>
          <a:off x="180975" y="22002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28</xdr:row>
      <xdr:rowOff>0</xdr:rowOff>
    </xdr:from>
    <xdr:to>
      <xdr:col>1</xdr:col>
      <xdr:colOff>581025</xdr:colOff>
      <xdr:row>29</xdr:row>
      <xdr:rowOff>114300</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8AE44250-D98A-42A3-9884-9963E250509E}"/>
            </a:ext>
          </a:extLst>
        </xdr:cNvPr>
        <xdr:cNvSpPr/>
      </xdr:nvSpPr>
      <xdr:spPr>
        <a:xfrm>
          <a:off x="180975" y="53625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30</xdr:row>
      <xdr:rowOff>0</xdr:rowOff>
    </xdr:from>
    <xdr:to>
      <xdr:col>1</xdr:col>
      <xdr:colOff>581025</xdr:colOff>
      <xdr:row>31</xdr:row>
      <xdr:rowOff>114300</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1B34A823-4F4F-4AFE-9999-894DCDB049A9}"/>
            </a:ext>
          </a:extLst>
        </xdr:cNvPr>
        <xdr:cNvSpPr/>
      </xdr:nvSpPr>
      <xdr:spPr>
        <a:xfrm>
          <a:off x="180975" y="57435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8</xdr:row>
      <xdr:rowOff>0</xdr:rowOff>
    </xdr:from>
    <xdr:to>
      <xdr:col>1</xdr:col>
      <xdr:colOff>581025</xdr:colOff>
      <xdr:row>9</xdr:row>
      <xdr:rowOff>104775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8979131-7D04-4B3E-B046-7889C92B60F8}"/>
            </a:ext>
          </a:extLst>
        </xdr:cNvPr>
        <xdr:cNvSpPr/>
      </xdr:nvSpPr>
      <xdr:spPr>
        <a:xfrm>
          <a:off x="180975" y="10001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12</xdr:row>
      <xdr:rowOff>0</xdr:rowOff>
    </xdr:from>
    <xdr:to>
      <xdr:col>1</xdr:col>
      <xdr:colOff>581025</xdr:colOff>
      <xdr:row>13</xdr:row>
      <xdr:rowOff>104775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4466C0C3-CA31-4203-B985-E0ED7A8EF73E}"/>
            </a:ext>
          </a:extLst>
        </xdr:cNvPr>
        <xdr:cNvSpPr/>
      </xdr:nvSpPr>
      <xdr:spPr>
        <a:xfrm>
          <a:off x="180975" y="18002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14</xdr:row>
      <xdr:rowOff>0</xdr:rowOff>
    </xdr:from>
    <xdr:to>
      <xdr:col>1</xdr:col>
      <xdr:colOff>581025</xdr:colOff>
      <xdr:row>14</xdr:row>
      <xdr:rowOff>304800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54FC2011-34B7-4D2E-837B-9ACE9BA3DDB3}"/>
            </a:ext>
          </a:extLst>
        </xdr:cNvPr>
        <xdr:cNvSpPr/>
      </xdr:nvSpPr>
      <xdr:spPr>
        <a:xfrm>
          <a:off x="180975" y="22002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15</xdr:row>
      <xdr:rowOff>19050</xdr:rowOff>
    </xdr:from>
    <xdr:to>
      <xdr:col>1</xdr:col>
      <xdr:colOff>581025</xdr:colOff>
      <xdr:row>16</xdr:row>
      <xdr:rowOff>123825</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5359ACA0-0749-41A7-A0F3-8A9A0D1328EF}"/>
            </a:ext>
          </a:extLst>
        </xdr:cNvPr>
        <xdr:cNvSpPr/>
      </xdr:nvSpPr>
      <xdr:spPr>
        <a:xfrm>
          <a:off x="180975" y="26003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17</xdr:row>
      <xdr:rowOff>19050</xdr:rowOff>
    </xdr:from>
    <xdr:to>
      <xdr:col>1</xdr:col>
      <xdr:colOff>581025</xdr:colOff>
      <xdr:row>18</xdr:row>
      <xdr:rowOff>123825</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372882BB-340F-4809-A5D0-ED263F18DD9A}"/>
            </a:ext>
          </a:extLst>
        </xdr:cNvPr>
        <xdr:cNvSpPr/>
      </xdr:nvSpPr>
      <xdr:spPr>
        <a:xfrm>
          <a:off x="180975" y="30003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19</xdr:row>
      <xdr:rowOff>19050</xdr:rowOff>
    </xdr:from>
    <xdr:to>
      <xdr:col>1</xdr:col>
      <xdr:colOff>581025</xdr:colOff>
      <xdr:row>20</xdr:row>
      <xdr:rowOff>123825</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D533AE09-352F-43AC-AE1B-6FC3807E5B5A}"/>
            </a:ext>
          </a:extLst>
        </xdr:cNvPr>
        <xdr:cNvSpPr/>
      </xdr:nvSpPr>
      <xdr:spPr>
        <a:xfrm>
          <a:off x="180975" y="34004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21</xdr:row>
      <xdr:rowOff>19050</xdr:rowOff>
    </xdr:from>
    <xdr:to>
      <xdr:col>1</xdr:col>
      <xdr:colOff>581025</xdr:colOff>
      <xdr:row>22</xdr:row>
      <xdr:rowOff>123825</xdr:rowOff>
    </xdr:to>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CEC1A49E-8307-425A-B000-2B326AA47680}"/>
            </a:ext>
          </a:extLst>
        </xdr:cNvPr>
        <xdr:cNvSpPr/>
      </xdr:nvSpPr>
      <xdr:spPr>
        <a:xfrm>
          <a:off x="180975" y="3800475"/>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23</xdr:row>
      <xdr:rowOff>19050</xdr:rowOff>
    </xdr:from>
    <xdr:to>
      <xdr:col>1</xdr:col>
      <xdr:colOff>581025</xdr:colOff>
      <xdr:row>24</xdr:row>
      <xdr:rowOff>123825</xdr:rowOff>
    </xdr:to>
    <xdr:sp macro="" textlink="">
      <xdr:nvSpPr>
        <xdr:cNvPr id="9" name="Rectangle: Rounded Corners 8">
          <a:hlinkClick xmlns:r="http://schemas.openxmlformats.org/officeDocument/2006/relationships" r:id="rId8"/>
          <a:extLst>
            <a:ext uri="{FF2B5EF4-FFF2-40B4-BE49-F238E27FC236}">
              <a16:creationId xmlns:a16="http://schemas.microsoft.com/office/drawing/2014/main" id="{ADFC05CD-6E7E-4184-A822-96C264DFF32A}"/>
            </a:ext>
          </a:extLst>
        </xdr:cNvPr>
        <xdr:cNvSpPr/>
      </xdr:nvSpPr>
      <xdr:spPr>
        <a:xfrm>
          <a:off x="180975" y="42005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10</xdr:row>
      <xdr:rowOff>0</xdr:rowOff>
    </xdr:from>
    <xdr:to>
      <xdr:col>1</xdr:col>
      <xdr:colOff>581025</xdr:colOff>
      <xdr:row>11</xdr:row>
      <xdr:rowOff>104775</xdr:rowOff>
    </xdr:to>
    <xdr:sp macro="" textlink="">
      <xdr:nvSpPr>
        <xdr:cNvPr id="10" name="Rectangle: Rounded Corners 9">
          <a:hlinkClick xmlns:r="http://schemas.openxmlformats.org/officeDocument/2006/relationships" r:id="rId6"/>
          <a:extLst>
            <a:ext uri="{FF2B5EF4-FFF2-40B4-BE49-F238E27FC236}">
              <a16:creationId xmlns:a16="http://schemas.microsoft.com/office/drawing/2014/main" id="{0A4CC005-7D0D-405B-8A17-F37F602644BC}"/>
            </a:ext>
          </a:extLst>
        </xdr:cNvPr>
        <xdr:cNvSpPr/>
      </xdr:nvSpPr>
      <xdr:spPr>
        <a:xfrm>
          <a:off x="180975" y="14001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1</xdr:col>
      <xdr:colOff>0</xdr:colOff>
      <xdr:row>25</xdr:row>
      <xdr:rowOff>19050</xdr:rowOff>
    </xdr:from>
    <xdr:to>
      <xdr:col>1</xdr:col>
      <xdr:colOff>581025</xdr:colOff>
      <xdr:row>26</xdr:row>
      <xdr:rowOff>123825</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E2728B7D-40E8-46F8-9A53-D9B28072D8A9}"/>
            </a:ext>
          </a:extLst>
        </xdr:cNvPr>
        <xdr:cNvSpPr/>
      </xdr:nvSpPr>
      <xdr:spPr>
        <a:xfrm>
          <a:off x="180975" y="520065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27</xdr:row>
      <xdr:rowOff>19050</xdr:rowOff>
    </xdr:from>
    <xdr:to>
      <xdr:col>1</xdr:col>
      <xdr:colOff>581025</xdr:colOff>
      <xdr:row>28</xdr:row>
      <xdr:rowOff>123825</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1665FA87-9784-44E9-9B7F-879CE766A13F}"/>
            </a:ext>
          </a:extLst>
        </xdr:cNvPr>
        <xdr:cNvSpPr/>
      </xdr:nvSpPr>
      <xdr:spPr>
        <a:xfrm>
          <a:off x="180975" y="5600700"/>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0</xdr:colOff>
      <xdr:row>64</xdr:row>
      <xdr:rowOff>3174</xdr:rowOff>
    </xdr:from>
    <xdr:to>
      <xdr:col>39</xdr:col>
      <xdr:colOff>19050</xdr:colOff>
      <xdr:row>87</xdr:row>
      <xdr:rowOff>171450</xdr:rowOff>
    </xdr:to>
    <xdr:graphicFrame macro="">
      <xdr:nvGraphicFramePr>
        <xdr:cNvPr id="4" name="Kaavio 3">
          <a:extLst>
            <a:ext uri="{FF2B5EF4-FFF2-40B4-BE49-F238E27FC236}">
              <a16:creationId xmlns:a16="http://schemas.microsoft.com/office/drawing/2014/main" id="{15655734-3B99-4A27-BF99-985FA3DAA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0</xdr:rowOff>
    </xdr:from>
    <xdr:to>
      <xdr:col>1</xdr:col>
      <xdr:colOff>581025</xdr:colOff>
      <xdr:row>10</xdr:row>
      <xdr:rowOff>104775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60B088A-C4D2-41E9-B8E3-E9FF5AF3A0E3}"/>
            </a:ext>
          </a:extLst>
        </xdr:cNvPr>
        <xdr:cNvSpPr/>
      </xdr:nvSpPr>
      <xdr:spPr>
        <a:xfrm>
          <a:off x="180975" y="18002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a:t>
          </a:r>
        </a:p>
      </xdr:txBody>
    </xdr:sp>
    <xdr:clientData/>
  </xdr:twoCellAnchor>
  <xdr:twoCellAnchor>
    <xdr:from>
      <xdr:col>1</xdr:col>
      <xdr:colOff>0</xdr:colOff>
      <xdr:row>13</xdr:row>
      <xdr:rowOff>0</xdr:rowOff>
    </xdr:from>
    <xdr:to>
      <xdr:col>1</xdr:col>
      <xdr:colOff>581025</xdr:colOff>
      <xdr:row>14</xdr:row>
      <xdr:rowOff>104775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C42B9B5A-D3ED-4906-B2AF-5632EBA6C24D}"/>
            </a:ext>
          </a:extLst>
        </xdr:cNvPr>
        <xdr:cNvSpPr/>
      </xdr:nvSpPr>
      <xdr:spPr>
        <a:xfrm>
          <a:off x="180975" y="26003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3</a:t>
          </a:r>
        </a:p>
      </xdr:txBody>
    </xdr:sp>
    <xdr:clientData/>
  </xdr:twoCellAnchor>
  <xdr:twoCellAnchor>
    <xdr:from>
      <xdr:col>1</xdr:col>
      <xdr:colOff>0</xdr:colOff>
      <xdr:row>15</xdr:row>
      <xdr:rowOff>0</xdr:rowOff>
    </xdr:from>
    <xdr:to>
      <xdr:col>1</xdr:col>
      <xdr:colOff>581025</xdr:colOff>
      <xdr:row>16</xdr:row>
      <xdr:rowOff>104775</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C449D67F-84A5-4DEA-B77F-58A3495F9CB9}"/>
            </a:ext>
          </a:extLst>
        </xdr:cNvPr>
        <xdr:cNvSpPr/>
      </xdr:nvSpPr>
      <xdr:spPr>
        <a:xfrm>
          <a:off x="180975" y="30003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4</a:t>
          </a:r>
        </a:p>
      </xdr:txBody>
    </xdr:sp>
    <xdr:clientData/>
  </xdr:twoCellAnchor>
  <xdr:twoCellAnchor>
    <xdr:from>
      <xdr:col>1</xdr:col>
      <xdr:colOff>0</xdr:colOff>
      <xdr:row>17</xdr:row>
      <xdr:rowOff>0</xdr:rowOff>
    </xdr:from>
    <xdr:to>
      <xdr:col>1</xdr:col>
      <xdr:colOff>581025</xdr:colOff>
      <xdr:row>18</xdr:row>
      <xdr:rowOff>104775</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B36F19F1-C4EE-44D3-98CB-2AF4592CC3AD}"/>
            </a:ext>
          </a:extLst>
        </xdr:cNvPr>
        <xdr:cNvSpPr/>
      </xdr:nvSpPr>
      <xdr:spPr>
        <a:xfrm>
          <a:off x="180975" y="34004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5</a:t>
          </a:r>
        </a:p>
      </xdr:txBody>
    </xdr:sp>
    <xdr:clientData/>
  </xdr:twoCellAnchor>
  <xdr:twoCellAnchor>
    <xdr:from>
      <xdr:col>1</xdr:col>
      <xdr:colOff>0</xdr:colOff>
      <xdr:row>19</xdr:row>
      <xdr:rowOff>0</xdr:rowOff>
    </xdr:from>
    <xdr:to>
      <xdr:col>1</xdr:col>
      <xdr:colOff>581025</xdr:colOff>
      <xdr:row>21</xdr:row>
      <xdr:rowOff>9525</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D9D9621D-1BF5-4DF2-9DA1-BA38F194B33E}"/>
            </a:ext>
          </a:extLst>
        </xdr:cNvPr>
        <xdr:cNvSpPr/>
      </xdr:nvSpPr>
      <xdr:spPr>
        <a:xfrm>
          <a:off x="180975" y="38004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6</a:t>
          </a:r>
        </a:p>
      </xdr:txBody>
    </xdr:sp>
    <xdr:clientData/>
  </xdr:twoCellAnchor>
  <xdr:twoCellAnchor>
    <xdr:from>
      <xdr:col>1</xdr:col>
      <xdr:colOff>0</xdr:colOff>
      <xdr:row>21</xdr:row>
      <xdr:rowOff>104775</xdr:rowOff>
    </xdr:from>
    <xdr:to>
      <xdr:col>1</xdr:col>
      <xdr:colOff>581025</xdr:colOff>
      <xdr:row>23</xdr:row>
      <xdr:rowOff>9525</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95E99AD2-E983-4D43-ABC0-9AA6087BDE14}"/>
            </a:ext>
          </a:extLst>
        </xdr:cNvPr>
        <xdr:cNvSpPr/>
      </xdr:nvSpPr>
      <xdr:spPr>
        <a:xfrm>
          <a:off x="180975" y="42005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7</a:t>
          </a:r>
        </a:p>
      </xdr:txBody>
    </xdr:sp>
    <xdr:clientData/>
  </xdr:twoCellAnchor>
  <xdr:twoCellAnchor>
    <xdr:from>
      <xdr:col>1</xdr:col>
      <xdr:colOff>0</xdr:colOff>
      <xdr:row>23</xdr:row>
      <xdr:rowOff>104775</xdr:rowOff>
    </xdr:from>
    <xdr:to>
      <xdr:col>1</xdr:col>
      <xdr:colOff>581025</xdr:colOff>
      <xdr:row>25</xdr:row>
      <xdr:rowOff>9525</xdr:rowOff>
    </xdr:to>
    <xdr:sp macro="" textlink="">
      <xdr:nvSpPr>
        <xdr:cNvPr id="10" name="Rectangle: Rounded Corners 9">
          <a:hlinkClick xmlns:r="http://schemas.openxmlformats.org/officeDocument/2006/relationships" r:id="rId8"/>
          <a:extLst>
            <a:ext uri="{FF2B5EF4-FFF2-40B4-BE49-F238E27FC236}">
              <a16:creationId xmlns:a16="http://schemas.microsoft.com/office/drawing/2014/main" id="{3B04609F-87E2-4D8B-A8A3-C30141D0B27C}"/>
            </a:ext>
          </a:extLst>
        </xdr:cNvPr>
        <xdr:cNvSpPr/>
      </xdr:nvSpPr>
      <xdr:spPr>
        <a:xfrm>
          <a:off x="180975" y="46005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8</a:t>
          </a:r>
        </a:p>
      </xdr:txBody>
    </xdr:sp>
    <xdr:clientData/>
  </xdr:twoCellAnchor>
  <xdr:twoCellAnchor>
    <xdr:from>
      <xdr:col>1</xdr:col>
      <xdr:colOff>0</xdr:colOff>
      <xdr:row>25</xdr:row>
      <xdr:rowOff>104775</xdr:rowOff>
    </xdr:from>
    <xdr:to>
      <xdr:col>1</xdr:col>
      <xdr:colOff>581025</xdr:colOff>
      <xdr:row>27</xdr:row>
      <xdr:rowOff>9525</xdr:rowOff>
    </xdr:to>
    <xdr:sp macro="" textlink="">
      <xdr:nvSpPr>
        <xdr:cNvPr id="11" name="Rectangle: Rounded Corners 10">
          <a:hlinkClick xmlns:r="http://schemas.openxmlformats.org/officeDocument/2006/relationships" r:id="rId9"/>
          <a:extLst>
            <a:ext uri="{FF2B5EF4-FFF2-40B4-BE49-F238E27FC236}">
              <a16:creationId xmlns:a16="http://schemas.microsoft.com/office/drawing/2014/main" id="{E09B3A45-8E7A-430D-AC48-231AA79CF346}"/>
            </a:ext>
          </a:extLst>
        </xdr:cNvPr>
        <xdr:cNvSpPr/>
      </xdr:nvSpPr>
      <xdr:spPr>
        <a:xfrm>
          <a:off x="180975" y="5000625"/>
          <a:ext cx="581025" cy="304800"/>
        </a:xfrm>
        <a:prstGeom prst="round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i-FI" sz="1400" b="1"/>
            <a:t>9</a:t>
          </a:r>
        </a:p>
      </xdr:txBody>
    </xdr:sp>
    <xdr:clientData/>
  </xdr:twoCellAnchor>
  <xdr:twoCellAnchor>
    <xdr:from>
      <xdr:col>1</xdr:col>
      <xdr:colOff>0</xdr:colOff>
      <xdr:row>11</xdr:row>
      <xdr:rowOff>0</xdr:rowOff>
    </xdr:from>
    <xdr:to>
      <xdr:col>1</xdr:col>
      <xdr:colOff>581025</xdr:colOff>
      <xdr:row>12</xdr:row>
      <xdr:rowOff>104775</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187AB441-A798-4AA7-85FE-A970DE24EFB6}"/>
            </a:ext>
          </a:extLst>
        </xdr:cNvPr>
        <xdr:cNvSpPr/>
      </xdr:nvSpPr>
      <xdr:spPr>
        <a:xfrm>
          <a:off x="180975" y="22002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2</a:t>
          </a:r>
        </a:p>
      </xdr:txBody>
    </xdr:sp>
    <xdr:clientData/>
  </xdr:twoCellAnchor>
  <xdr:twoCellAnchor>
    <xdr:from>
      <xdr:col>22</xdr:col>
      <xdr:colOff>0</xdr:colOff>
      <xdr:row>8</xdr:row>
      <xdr:rowOff>0</xdr:rowOff>
    </xdr:from>
    <xdr:to>
      <xdr:col>39</xdr:col>
      <xdr:colOff>19050</xdr:colOff>
      <xdr:row>32</xdr:row>
      <xdr:rowOff>63501</xdr:rowOff>
    </xdr:to>
    <xdr:graphicFrame macro="">
      <xdr:nvGraphicFramePr>
        <xdr:cNvPr id="13" name="Kaavio 3">
          <a:extLst>
            <a:ext uri="{FF2B5EF4-FFF2-40B4-BE49-F238E27FC236}">
              <a16:creationId xmlns:a16="http://schemas.microsoft.com/office/drawing/2014/main" id="{97C12DDB-E222-4FC3-A145-2B00F936C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27</xdr:row>
      <xdr:rowOff>104775</xdr:rowOff>
    </xdr:from>
    <xdr:to>
      <xdr:col>1</xdr:col>
      <xdr:colOff>581025</xdr:colOff>
      <xdr:row>29</xdr:row>
      <xdr:rowOff>9525</xdr:rowOff>
    </xdr:to>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5D93D6F1-A822-4F8E-BE68-7E60BD1591FE}"/>
            </a:ext>
          </a:extLst>
        </xdr:cNvPr>
        <xdr:cNvSpPr/>
      </xdr:nvSpPr>
      <xdr:spPr>
        <a:xfrm>
          <a:off x="180975" y="540067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10</a:t>
          </a:r>
        </a:p>
      </xdr:txBody>
    </xdr:sp>
    <xdr:clientData/>
  </xdr:twoCellAnchor>
  <xdr:twoCellAnchor>
    <xdr:from>
      <xdr:col>1</xdr:col>
      <xdr:colOff>0</xdr:colOff>
      <xdr:row>29</xdr:row>
      <xdr:rowOff>104775</xdr:rowOff>
    </xdr:from>
    <xdr:to>
      <xdr:col>1</xdr:col>
      <xdr:colOff>581025</xdr:colOff>
      <xdr:row>31</xdr:row>
      <xdr:rowOff>9525</xdr:rowOff>
    </xdr:to>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C49A3869-EDE4-46B8-9739-25587022595D}"/>
            </a:ext>
          </a:extLst>
        </xdr:cNvPr>
        <xdr:cNvSpPr/>
      </xdr:nvSpPr>
      <xdr:spPr>
        <a:xfrm>
          <a:off x="180975" y="5800725"/>
          <a:ext cx="581025" cy="304800"/>
        </a:xfrm>
        <a:prstGeom prst="round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i-FI" sz="1400" b="1"/>
            <a:t>11</a:t>
          </a:r>
        </a:p>
      </xdr:txBody>
    </xdr:sp>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vero.fi/yritykset-ja-yhteisot/verot-ja-maksut/arvonlisaverotus/arvonlisaveroprosentit/"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3758-4A48-4ED9-80EF-86C064F6ADC3}">
  <sheetPr codeName="Sheet1"/>
  <dimension ref="B2:T34"/>
  <sheetViews>
    <sheetView tabSelected="1" workbookViewId="0">
      <selection activeCell="Q3" sqref="Q3"/>
    </sheetView>
  </sheetViews>
  <sheetFormatPr defaultColWidth="9.1796875" defaultRowHeight="14.5" x14ac:dyDescent="0.35"/>
  <cols>
    <col min="1" max="1" width="2.7265625" style="5" customWidth="1"/>
    <col min="2" max="16384" width="9.1796875" style="5"/>
  </cols>
  <sheetData>
    <row r="2" spans="2:20" ht="21" x14ac:dyDescent="0.5">
      <c r="B2" s="16" t="s">
        <v>776</v>
      </c>
    </row>
    <row r="3" spans="2:20" ht="16" x14ac:dyDescent="0.4">
      <c r="B3" s="492" t="s">
        <v>775</v>
      </c>
    </row>
    <row r="9" spans="2:20" x14ac:dyDescent="0.35">
      <c r="P9" s="197" t="s">
        <v>578</v>
      </c>
    </row>
    <row r="10" spans="2:20" ht="15" customHeight="1" x14ac:dyDescent="0.35">
      <c r="P10" s="984" t="s">
        <v>579</v>
      </c>
      <c r="Q10" s="984"/>
      <c r="R10" s="984"/>
      <c r="S10" s="984"/>
      <c r="T10" s="984"/>
    </row>
    <row r="11" spans="2:20" x14ac:dyDescent="0.35">
      <c r="P11" s="984"/>
      <c r="Q11" s="984"/>
      <c r="R11" s="984"/>
      <c r="S11" s="984"/>
      <c r="T11" s="984"/>
    </row>
    <row r="12" spans="2:20" x14ac:dyDescent="0.35">
      <c r="P12" s="984"/>
      <c r="Q12" s="984"/>
      <c r="R12" s="984"/>
      <c r="S12" s="984"/>
      <c r="T12" s="984"/>
    </row>
    <row r="13" spans="2:20" x14ac:dyDescent="0.35">
      <c r="P13" s="984"/>
      <c r="Q13" s="984"/>
      <c r="R13" s="984"/>
      <c r="S13" s="984"/>
      <c r="T13" s="984"/>
    </row>
    <row r="34" spans="2:2" x14ac:dyDescent="0.35">
      <c r="B34" s="837" t="s">
        <v>974</v>
      </c>
    </row>
  </sheetData>
  <sheetProtection algorithmName="SHA-512" hashValue="TkWtVnHgXwyYj+jLxvtjQBmP9IUmuWXEIOoQZD+Zgt3rNpMHqQjlxq+/t/pEtzUruQhihjGrb/5ui//kPlaXyQ==" saltValue="1F+fEPa/EjWRG1ksiL/61A==" spinCount="100000" sheet="1" objects="1" scenarios="1" selectLockedCells="1" selectUnlockedCells="1"/>
  <mergeCells count="1">
    <mergeCell ref="P10:T1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E621-74D8-4A8E-B21D-7D12D83A7953}">
  <sheetPr codeName="Taul5">
    <tabColor theme="7" tint="0.79998168889431442"/>
  </sheetPr>
  <dimension ref="B2:S21"/>
  <sheetViews>
    <sheetView zoomScaleNormal="100" workbookViewId="0">
      <selection activeCell="N11" sqref="N11"/>
    </sheetView>
  </sheetViews>
  <sheetFormatPr defaultColWidth="8.81640625" defaultRowHeight="15" customHeight="1" x14ac:dyDescent="0.35"/>
  <cols>
    <col min="1" max="1" width="2.81640625" style="106" customWidth="1"/>
    <col min="2" max="2" width="25.54296875" style="106" customWidth="1"/>
    <col min="3" max="3" width="9.81640625" style="106" bestFit="1" customWidth="1"/>
    <col min="4" max="5" width="8.81640625" style="106"/>
    <col min="6" max="6" width="25.54296875" style="106" customWidth="1"/>
    <col min="7" max="7" width="8.81640625" style="106" bestFit="1" customWidth="1"/>
    <col min="8" max="10" width="8.81640625" style="106"/>
    <col min="11" max="11" width="8.81640625" style="106" bestFit="1" customWidth="1"/>
    <col min="12" max="16384" width="8.81640625" style="106"/>
  </cols>
  <sheetData>
    <row r="2" spans="2:19" ht="21" x14ac:dyDescent="0.5">
      <c r="B2" s="125" t="s">
        <v>156</v>
      </c>
    </row>
    <row r="5" spans="2:19" ht="15" customHeight="1" x14ac:dyDescent="0.35">
      <c r="B5" s="107" t="s">
        <v>160</v>
      </c>
      <c r="F5" s="107" t="s">
        <v>173</v>
      </c>
      <c r="G5" s="127" t="s">
        <v>41</v>
      </c>
      <c r="N5" s="107" t="s">
        <v>178</v>
      </c>
    </row>
    <row r="6" spans="2:19" ht="15" customHeight="1" x14ac:dyDescent="0.35">
      <c r="B6" s="106" t="s">
        <v>161</v>
      </c>
      <c r="C6" s="118">
        <v>5000000</v>
      </c>
      <c r="D6" s="106" t="s">
        <v>157</v>
      </c>
      <c r="F6" s="106" t="s">
        <v>174</v>
      </c>
      <c r="G6" s="108">
        <f>C17*C21</f>
        <v>80000</v>
      </c>
      <c r="H6" s="106" t="s">
        <v>157</v>
      </c>
      <c r="K6" s="126">
        <f>G6/$G$6</f>
        <v>1</v>
      </c>
      <c r="O6" s="1008" t="s">
        <v>171</v>
      </c>
      <c r="P6" s="1008"/>
      <c r="Q6" s="1008"/>
      <c r="R6" s="1008"/>
      <c r="S6" s="1008"/>
    </row>
    <row r="7" spans="2:19" ht="15" customHeight="1" x14ac:dyDescent="0.35">
      <c r="B7" s="106" t="s">
        <v>162</v>
      </c>
      <c r="C7" s="119">
        <v>0.05</v>
      </c>
      <c r="F7" s="109" t="s">
        <v>0</v>
      </c>
      <c r="G7" s="110">
        <f>(C17-C19)*C21</f>
        <v>24000</v>
      </c>
      <c r="H7" s="106" t="s">
        <v>157</v>
      </c>
      <c r="K7" s="126">
        <f>G7/$G$6</f>
        <v>0.3</v>
      </c>
      <c r="N7" s="111">
        <f>G10</f>
        <v>2250</v>
      </c>
      <c r="O7" s="123">
        <v>3800</v>
      </c>
      <c r="P7" s="123">
        <v>3900</v>
      </c>
      <c r="Q7" s="124">
        <v>4000</v>
      </c>
      <c r="R7" s="123">
        <v>4100</v>
      </c>
      <c r="S7" s="123">
        <v>4200</v>
      </c>
    </row>
    <row r="8" spans="2:19" ht="15" customHeight="1" x14ac:dyDescent="0.35">
      <c r="B8" s="106" t="s">
        <v>163</v>
      </c>
      <c r="C8" s="108">
        <f>C6*C7</f>
        <v>250000</v>
      </c>
      <c r="D8" s="106" t="s">
        <v>157</v>
      </c>
      <c r="F8" s="106" t="s">
        <v>31</v>
      </c>
      <c r="G8" s="108">
        <f>G6-G7</f>
        <v>56000</v>
      </c>
      <c r="H8" s="106" t="s">
        <v>157</v>
      </c>
      <c r="K8" s="126">
        <f>G8/$G$6</f>
        <v>0.7</v>
      </c>
      <c r="M8" s="1009" t="s">
        <v>169</v>
      </c>
      <c r="N8" s="122">
        <f>N9-1</f>
        <v>18</v>
      </c>
      <c r="O8" s="112">
        <f t="dataTable" ref="O8:S12" dt2D="1" dtr="1" r1="C21" r2="C17"/>
        <v>-5870</v>
      </c>
      <c r="P8" s="113">
        <v>-4610</v>
      </c>
      <c r="Q8" s="113">
        <v>-3350</v>
      </c>
      <c r="R8" s="113">
        <v>-2090</v>
      </c>
      <c r="S8" s="113">
        <v>-830</v>
      </c>
    </row>
    <row r="9" spans="2:19" ht="15" customHeight="1" x14ac:dyDescent="0.35">
      <c r="B9" s="106" t="s">
        <v>164</v>
      </c>
      <c r="C9" s="118">
        <v>10</v>
      </c>
      <c r="D9" s="106" t="s">
        <v>167</v>
      </c>
      <c r="F9" s="109" t="s">
        <v>1</v>
      </c>
      <c r="G9" s="110">
        <f>C11+C13+C15</f>
        <v>53750</v>
      </c>
      <c r="H9" s="106" t="s">
        <v>157</v>
      </c>
      <c r="K9" s="126">
        <f>G9/$G$6</f>
        <v>0.671875</v>
      </c>
      <c r="M9" s="1009"/>
      <c r="N9" s="122">
        <f>N10-1</f>
        <v>19</v>
      </c>
      <c r="O9" s="112">
        <v>-3210</v>
      </c>
      <c r="P9" s="113">
        <v>-1880</v>
      </c>
      <c r="Q9" s="113">
        <v>-550</v>
      </c>
      <c r="R9" s="113">
        <v>780</v>
      </c>
      <c r="S9" s="113">
        <v>2110</v>
      </c>
    </row>
    <row r="10" spans="2:19" ht="15" customHeight="1" x14ac:dyDescent="0.35">
      <c r="B10" s="106" t="s">
        <v>165</v>
      </c>
      <c r="C10" s="108">
        <f>C6/C9</f>
        <v>500000</v>
      </c>
      <c r="D10" s="106" t="s">
        <v>158</v>
      </c>
      <c r="F10" s="106" t="s">
        <v>175</v>
      </c>
      <c r="G10" s="108">
        <f>G8-G9</f>
        <v>2250</v>
      </c>
      <c r="H10" s="106" t="s">
        <v>157</v>
      </c>
      <c r="K10" s="126">
        <f>G10/$G$6</f>
        <v>2.8125000000000001E-2</v>
      </c>
      <c r="M10" s="1009"/>
      <c r="N10" s="114">
        <v>20</v>
      </c>
      <c r="O10" s="112">
        <v>-550</v>
      </c>
      <c r="P10" s="113">
        <v>850</v>
      </c>
      <c r="Q10" s="113">
        <v>2250</v>
      </c>
      <c r="R10" s="113">
        <v>3650</v>
      </c>
      <c r="S10" s="113">
        <v>5050</v>
      </c>
    </row>
    <row r="11" spans="2:19" ht="15" customHeight="1" x14ac:dyDescent="0.35">
      <c r="B11" s="106" t="s">
        <v>165</v>
      </c>
      <c r="C11" s="108">
        <f>C10/12</f>
        <v>41666.666666666664</v>
      </c>
      <c r="D11" s="106" t="s">
        <v>168</v>
      </c>
      <c r="M11" s="1009"/>
      <c r="N11" s="122">
        <f>N10+1</f>
        <v>21</v>
      </c>
      <c r="O11" s="112">
        <v>2110</v>
      </c>
      <c r="P11" s="113">
        <v>3580</v>
      </c>
      <c r="Q11" s="113">
        <v>5050</v>
      </c>
      <c r="R11" s="113">
        <v>6520</v>
      </c>
      <c r="S11" s="113">
        <v>7990</v>
      </c>
    </row>
    <row r="12" spans="2:19" ht="15" customHeight="1" x14ac:dyDescent="0.35">
      <c r="B12" s="106" t="s">
        <v>166</v>
      </c>
      <c r="C12" s="108">
        <f>C8/C9</f>
        <v>25000</v>
      </c>
      <c r="D12" s="106" t="s">
        <v>158</v>
      </c>
      <c r="F12" s="107" t="s">
        <v>176</v>
      </c>
      <c r="M12" s="1009"/>
      <c r="N12" s="122">
        <f>N11+1</f>
        <v>22</v>
      </c>
      <c r="O12" s="112">
        <v>4770</v>
      </c>
      <c r="P12" s="113">
        <v>6309.9999999999927</v>
      </c>
      <c r="Q12" s="113">
        <v>7849.9999999999927</v>
      </c>
      <c r="R12" s="113">
        <v>9389.9999999999927</v>
      </c>
      <c r="S12" s="113">
        <v>10929.999999999993</v>
      </c>
    </row>
    <row r="13" spans="2:19" ht="15" customHeight="1" x14ac:dyDescent="0.35">
      <c r="B13" s="106" t="s">
        <v>166</v>
      </c>
      <c r="C13" s="108">
        <f>C12/12</f>
        <v>2083.3333333333335</v>
      </c>
      <c r="D13" s="106" t="s">
        <v>168</v>
      </c>
      <c r="F13" s="106" t="s">
        <v>31</v>
      </c>
      <c r="G13" s="126">
        <f>G8/G6</f>
        <v>0.7</v>
      </c>
    </row>
    <row r="14" spans="2:19" ht="15" customHeight="1" x14ac:dyDescent="0.35">
      <c r="C14" s="108"/>
      <c r="F14" s="106" t="s">
        <v>159</v>
      </c>
      <c r="G14" s="108">
        <f>G9/G13</f>
        <v>76785.71428571429</v>
      </c>
      <c r="H14" s="106" t="s">
        <v>157</v>
      </c>
      <c r="N14" s="115" t="s">
        <v>179</v>
      </c>
    </row>
    <row r="15" spans="2:19" ht="15" customHeight="1" x14ac:dyDescent="0.35">
      <c r="B15" s="106" t="s">
        <v>1</v>
      </c>
      <c r="C15" s="118">
        <v>10000</v>
      </c>
      <c r="D15" s="106" t="s">
        <v>168</v>
      </c>
      <c r="F15" s="106" t="s">
        <v>159</v>
      </c>
      <c r="G15" s="108">
        <f>G9/C19</f>
        <v>3839.2857142857142</v>
      </c>
      <c r="H15" s="106" t="s">
        <v>23</v>
      </c>
    </row>
    <row r="16" spans="2:19" ht="15" customHeight="1" x14ac:dyDescent="0.35">
      <c r="F16" s="106" t="s">
        <v>177</v>
      </c>
      <c r="G16" s="108">
        <f>G6-G14</f>
        <v>3214.2857142857101</v>
      </c>
      <c r="H16" s="106" t="s">
        <v>157</v>
      </c>
    </row>
    <row r="17" spans="2:8" ht="15" customHeight="1" x14ac:dyDescent="0.35">
      <c r="B17" s="106" t="s">
        <v>169</v>
      </c>
      <c r="C17" s="120">
        <v>20</v>
      </c>
      <c r="D17" s="106" t="s">
        <v>172</v>
      </c>
      <c r="F17" s="106" t="s">
        <v>177</v>
      </c>
      <c r="G17" s="108">
        <f>C21-G15</f>
        <v>160.71428571428578</v>
      </c>
      <c r="H17" s="106" t="s">
        <v>23</v>
      </c>
    </row>
    <row r="18" spans="2:8" ht="15" customHeight="1" x14ac:dyDescent="0.35">
      <c r="B18" s="106" t="s">
        <v>170</v>
      </c>
      <c r="C18" s="121">
        <v>0.7</v>
      </c>
    </row>
    <row r="19" spans="2:8" ht="15" customHeight="1" x14ac:dyDescent="0.35">
      <c r="B19" s="106" t="s">
        <v>31</v>
      </c>
      <c r="C19" s="116">
        <f>C17*C18</f>
        <v>14</v>
      </c>
      <c r="D19" s="106" t="s">
        <v>172</v>
      </c>
    </row>
    <row r="20" spans="2:8" ht="15" customHeight="1" x14ac:dyDescent="0.35">
      <c r="B20" s="106" t="s">
        <v>0</v>
      </c>
      <c r="C20" s="116">
        <f>C17-C19</f>
        <v>6</v>
      </c>
      <c r="D20" s="106" t="s">
        <v>172</v>
      </c>
      <c r="E20" s="117"/>
    </row>
    <row r="21" spans="2:8" ht="15" customHeight="1" x14ac:dyDescent="0.35">
      <c r="B21" s="106" t="s">
        <v>171</v>
      </c>
      <c r="C21" s="118">
        <v>4000</v>
      </c>
      <c r="D21" s="106" t="s">
        <v>23</v>
      </c>
    </row>
  </sheetData>
  <mergeCells count="2">
    <mergeCell ref="O6:S6"/>
    <mergeCell ref="M8:M12"/>
  </mergeCells>
  <conditionalFormatting sqref="O8:S12">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ignoredErrors>
    <ignoredError sqref="C22:H23 C12:E12 C14:F14 C13 E13 C16:E16 C15 C18:F18 C17 E17 C19:C21 E19:F21 G16:H16 E15:G15 G18:H21 G17 K9:L21 G9:H12 H14 H13"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31C8-BD2C-4B89-ACEB-763D16798C6D}">
  <sheetPr codeName="Taul10"/>
  <dimension ref="B2:V76"/>
  <sheetViews>
    <sheetView workbookViewId="0">
      <selection activeCell="D5" sqref="D5"/>
    </sheetView>
  </sheetViews>
  <sheetFormatPr defaultColWidth="9.1796875" defaultRowHeight="16" customHeight="1" x14ac:dyDescent="0.35"/>
  <cols>
    <col min="1" max="1" width="2.7265625" style="5" customWidth="1"/>
    <col min="2" max="2" width="10.7265625" style="5" customWidth="1"/>
    <col min="3" max="3" width="3.7265625" style="5" customWidth="1"/>
    <col min="4" max="4" width="55.7265625" style="5" customWidth="1"/>
    <col min="5" max="9" width="12.7265625" style="5" customWidth="1"/>
    <col min="10" max="10" width="6.453125" style="5" bestFit="1" customWidth="1"/>
    <col min="11" max="16384" width="9.1796875" style="5"/>
  </cols>
  <sheetData>
    <row r="2" spans="2:22" ht="16" customHeight="1" x14ac:dyDescent="0.5">
      <c r="B2" s="822" t="s">
        <v>626</v>
      </c>
      <c r="D2" s="16" t="s">
        <v>594</v>
      </c>
    </row>
    <row r="4" spans="2:22" ht="16" customHeight="1" x14ac:dyDescent="0.35">
      <c r="D4" s="14" t="s">
        <v>867</v>
      </c>
      <c r="I4" s="14" t="s">
        <v>869</v>
      </c>
    </row>
    <row r="5" spans="2:22" ht="16" customHeight="1" x14ac:dyDescent="0.35">
      <c r="D5" s="861" t="s">
        <v>870</v>
      </c>
      <c r="I5" s="862">
        <v>46159</v>
      </c>
    </row>
    <row r="7" spans="2:22" ht="16" customHeight="1" x14ac:dyDescent="0.35">
      <c r="D7" s="14" t="s">
        <v>868</v>
      </c>
    </row>
    <row r="8" spans="2:22" ht="16" customHeight="1" x14ac:dyDescent="0.35">
      <c r="D8" s="861" t="s">
        <v>871</v>
      </c>
    </row>
    <row r="10" spans="2:22" ht="16" customHeight="1" x14ac:dyDescent="0.35">
      <c r="D10" s="14" t="s">
        <v>872</v>
      </c>
    </row>
    <row r="11" spans="2:22" ht="16" customHeight="1" x14ac:dyDescent="0.35">
      <c r="D11" s="1013" t="s">
        <v>873</v>
      </c>
    </row>
    <row r="12" spans="2:22" ht="16" customHeight="1" x14ac:dyDescent="0.35">
      <c r="D12" s="1013"/>
    </row>
    <row r="13" spans="2:22" ht="16" customHeight="1" x14ac:dyDescent="0.35">
      <c r="D13" s="1014"/>
    </row>
    <row r="14" spans="2:22" ht="16" customHeight="1" thickBot="1" x14ac:dyDescent="0.4"/>
    <row r="15" spans="2:22" ht="16" customHeight="1" x14ac:dyDescent="0.35">
      <c r="C15" s="408"/>
      <c r="D15" s="515"/>
      <c r="E15" s="516" t="s">
        <v>447</v>
      </c>
      <c r="F15" s="516" t="s">
        <v>444</v>
      </c>
      <c r="G15" s="516" t="s">
        <v>445</v>
      </c>
      <c r="H15" s="516" t="s">
        <v>446</v>
      </c>
      <c r="I15" s="1010" t="s">
        <v>83</v>
      </c>
      <c r="L15" s="874" t="s">
        <v>878</v>
      </c>
      <c r="M15" s="875"/>
      <c r="N15" s="875"/>
      <c r="O15" s="875"/>
      <c r="P15" s="875"/>
      <c r="Q15" s="875"/>
      <c r="R15" s="875"/>
      <c r="S15" s="875"/>
      <c r="T15" s="875"/>
      <c r="U15" s="875"/>
      <c r="V15" s="876"/>
    </row>
    <row r="16" spans="2:22" ht="16" customHeight="1" x14ac:dyDescent="0.4">
      <c r="C16" s="517" t="s">
        <v>413</v>
      </c>
      <c r="D16" s="409"/>
      <c r="E16" s="863">
        <v>2026</v>
      </c>
      <c r="F16" s="863">
        <f>E16+1</f>
        <v>2027</v>
      </c>
      <c r="G16" s="863">
        <f t="shared" ref="G16:H16" si="0">F16+1</f>
        <v>2028</v>
      </c>
      <c r="H16" s="863">
        <f t="shared" si="0"/>
        <v>2029</v>
      </c>
      <c r="I16" s="1011"/>
      <c r="L16" s="877"/>
      <c r="M16" s="878"/>
      <c r="N16" s="878"/>
      <c r="O16" s="878"/>
      <c r="P16" s="878"/>
      <c r="Q16" s="878"/>
      <c r="R16" s="878"/>
      <c r="S16" s="878"/>
      <c r="T16" s="878"/>
      <c r="U16" s="878"/>
      <c r="V16" s="879"/>
    </row>
    <row r="17" spans="3:22" ht="16" customHeight="1" x14ac:dyDescent="0.35">
      <c r="C17" s="200" t="s">
        <v>275</v>
      </c>
      <c r="D17" s="144" t="s">
        <v>414</v>
      </c>
      <c r="E17" s="864"/>
      <c r="F17" s="864"/>
      <c r="G17" s="864"/>
      <c r="H17" s="864"/>
      <c r="I17" s="245">
        <f>SUM(E17:H17)</f>
        <v>0</v>
      </c>
      <c r="J17" s="518" t="e">
        <f>I17/$I$42</f>
        <v>#DIV/0!</v>
      </c>
      <c r="L17" s="877"/>
      <c r="M17" s="878"/>
      <c r="N17" s="878"/>
      <c r="O17" s="878"/>
      <c r="P17" s="878"/>
      <c r="Q17" s="878"/>
      <c r="R17" s="878"/>
      <c r="S17" s="878"/>
      <c r="T17" s="878"/>
      <c r="U17" s="878"/>
      <c r="V17" s="879"/>
    </row>
    <row r="18" spans="3:22" ht="16" customHeight="1" x14ac:dyDescent="0.35">
      <c r="C18" s="200"/>
      <c r="D18" s="519" t="s">
        <v>415</v>
      </c>
      <c r="E18" s="865"/>
      <c r="F18" s="865"/>
      <c r="G18" s="865"/>
      <c r="H18" s="865"/>
      <c r="I18" s="683"/>
      <c r="L18" s="877"/>
      <c r="M18" s="878"/>
      <c r="N18" s="878"/>
      <c r="O18" s="878"/>
      <c r="P18" s="878"/>
      <c r="Q18" s="878"/>
      <c r="R18" s="878"/>
      <c r="S18" s="878"/>
      <c r="T18" s="878"/>
      <c r="U18" s="878"/>
      <c r="V18" s="879"/>
    </row>
    <row r="19" spans="3:22" ht="16" customHeight="1" x14ac:dyDescent="0.35">
      <c r="C19" s="200"/>
      <c r="D19" s="519" t="s">
        <v>416</v>
      </c>
      <c r="E19" s="866"/>
      <c r="F19" s="866"/>
      <c r="G19" s="866"/>
      <c r="H19" s="866"/>
      <c r="I19" s="683"/>
      <c r="L19" s="877"/>
      <c r="M19" s="878"/>
      <c r="N19" s="878"/>
      <c r="O19" s="878"/>
      <c r="P19" s="878"/>
      <c r="Q19" s="878"/>
      <c r="R19" s="878"/>
      <c r="S19" s="878"/>
      <c r="T19" s="878"/>
      <c r="U19" s="878"/>
      <c r="V19" s="879"/>
    </row>
    <row r="20" spans="3:22" ht="16" customHeight="1" x14ac:dyDescent="0.35">
      <c r="C20" s="200" t="s">
        <v>276</v>
      </c>
      <c r="D20" s="144" t="s">
        <v>417</v>
      </c>
      <c r="E20" s="864"/>
      <c r="F20" s="864"/>
      <c r="G20" s="864"/>
      <c r="H20" s="864"/>
      <c r="I20" s="245">
        <f>SUM(E20:H20)</f>
        <v>0</v>
      </c>
      <c r="J20" s="518" t="e">
        <f>I20/$I$42</f>
        <v>#DIV/0!</v>
      </c>
      <c r="L20" s="877"/>
      <c r="M20" s="880"/>
      <c r="N20" s="878"/>
      <c r="O20" s="878"/>
      <c r="P20" s="878"/>
      <c r="Q20" s="878"/>
      <c r="R20" s="878"/>
      <c r="S20" s="878"/>
      <c r="T20" s="878"/>
      <c r="U20" s="878"/>
      <c r="V20" s="879"/>
    </row>
    <row r="21" spans="3:22" ht="16" customHeight="1" x14ac:dyDescent="0.35">
      <c r="C21" s="200"/>
      <c r="D21" s="519" t="s">
        <v>418</v>
      </c>
      <c r="E21" s="865"/>
      <c r="F21" s="865"/>
      <c r="G21" s="865"/>
      <c r="H21" s="865"/>
      <c r="I21" s="683"/>
      <c r="L21" s="877"/>
      <c r="M21" s="878"/>
      <c r="N21" s="878"/>
      <c r="O21" s="878"/>
      <c r="P21" s="878"/>
      <c r="Q21" s="878"/>
      <c r="R21" s="878"/>
      <c r="S21" s="878"/>
      <c r="T21" s="878"/>
      <c r="U21" s="878"/>
      <c r="V21" s="879"/>
    </row>
    <row r="22" spans="3:22" ht="16" customHeight="1" x14ac:dyDescent="0.35">
      <c r="C22" s="200"/>
      <c r="D22" s="519" t="s">
        <v>419</v>
      </c>
      <c r="E22" s="866">
        <v>0.255</v>
      </c>
      <c r="F22" s="866">
        <v>0.255</v>
      </c>
      <c r="G22" s="866">
        <v>0.255</v>
      </c>
      <c r="H22" s="866">
        <v>0.255</v>
      </c>
      <c r="I22" s="683"/>
      <c r="L22" s="877"/>
      <c r="M22" s="880"/>
      <c r="N22" s="878"/>
      <c r="O22" s="878"/>
      <c r="P22" s="878"/>
      <c r="Q22" s="878"/>
      <c r="R22" s="878"/>
      <c r="S22" s="878"/>
      <c r="T22" s="878"/>
      <c r="U22" s="878"/>
      <c r="V22" s="879"/>
    </row>
    <row r="23" spans="3:22" ht="16" customHeight="1" x14ac:dyDescent="0.35">
      <c r="C23" s="200"/>
      <c r="D23" s="519" t="s">
        <v>416</v>
      </c>
      <c r="E23" s="866"/>
      <c r="F23" s="866"/>
      <c r="G23" s="866"/>
      <c r="H23" s="866"/>
      <c r="I23" s="683"/>
      <c r="L23" s="877"/>
      <c r="M23" s="878"/>
      <c r="N23" s="878"/>
      <c r="O23" s="878"/>
      <c r="P23" s="878"/>
      <c r="Q23" s="878"/>
      <c r="R23" s="878"/>
      <c r="S23" s="878"/>
      <c r="T23" s="878"/>
      <c r="U23" s="878"/>
      <c r="V23" s="879"/>
    </row>
    <row r="24" spans="3:22" ht="16" customHeight="1" x14ac:dyDescent="0.35">
      <c r="C24" s="200" t="s">
        <v>277</v>
      </c>
      <c r="D24" s="144" t="s">
        <v>294</v>
      </c>
      <c r="E24" s="864"/>
      <c r="F24" s="864"/>
      <c r="G24" s="864"/>
      <c r="H24" s="864"/>
      <c r="I24" s="245">
        <f>SUM(E24:H24)</f>
        <v>0</v>
      </c>
      <c r="J24" s="518" t="e">
        <f>I24/$I$42</f>
        <v>#DIV/0!</v>
      </c>
      <c r="L24" s="877"/>
      <c r="M24" s="880"/>
      <c r="N24" s="878"/>
      <c r="O24" s="878"/>
      <c r="P24" s="878"/>
      <c r="Q24" s="878"/>
      <c r="R24" s="878"/>
      <c r="S24" s="878"/>
      <c r="T24" s="878"/>
      <c r="U24" s="878"/>
      <c r="V24" s="879"/>
    </row>
    <row r="25" spans="3:22" ht="16" customHeight="1" x14ac:dyDescent="0.35">
      <c r="C25" s="200"/>
      <c r="D25" s="519" t="s">
        <v>418</v>
      </c>
      <c r="E25" s="865"/>
      <c r="F25" s="865"/>
      <c r="G25" s="865"/>
      <c r="H25" s="865"/>
      <c r="I25" s="683"/>
      <c r="L25" s="877"/>
      <c r="M25" s="878"/>
      <c r="N25" s="878"/>
      <c r="O25" s="878"/>
      <c r="P25" s="878"/>
      <c r="Q25" s="878"/>
      <c r="R25" s="878"/>
      <c r="S25" s="878"/>
      <c r="T25" s="878"/>
      <c r="U25" s="878"/>
      <c r="V25" s="879"/>
    </row>
    <row r="26" spans="3:22" ht="16" customHeight="1" x14ac:dyDescent="0.35">
      <c r="C26" s="200"/>
      <c r="D26" s="519" t="s">
        <v>416</v>
      </c>
      <c r="E26" s="866"/>
      <c r="F26" s="866"/>
      <c r="G26" s="866"/>
      <c r="H26" s="866"/>
      <c r="I26" s="683"/>
      <c r="L26" s="877"/>
      <c r="M26" s="880"/>
      <c r="N26" s="878"/>
      <c r="O26" s="878"/>
      <c r="P26" s="878"/>
      <c r="Q26" s="878"/>
      <c r="R26" s="878"/>
      <c r="S26" s="878"/>
      <c r="T26" s="878"/>
      <c r="U26" s="878"/>
      <c r="V26" s="879"/>
    </row>
    <row r="27" spans="3:22" ht="16" customHeight="1" x14ac:dyDescent="0.35">
      <c r="C27" s="200" t="s">
        <v>278</v>
      </c>
      <c r="D27" s="144" t="s">
        <v>420</v>
      </c>
      <c r="E27" s="864"/>
      <c r="F27" s="864"/>
      <c r="G27" s="864"/>
      <c r="H27" s="864"/>
      <c r="I27" s="245">
        <f>SUM(E27:H27)</f>
        <v>0</v>
      </c>
      <c r="J27" s="518" t="e">
        <f>I27/$I$42</f>
        <v>#DIV/0!</v>
      </c>
      <c r="L27" s="877"/>
      <c r="M27" s="878"/>
      <c r="N27" s="878"/>
      <c r="O27" s="878"/>
      <c r="P27" s="878"/>
      <c r="Q27" s="878"/>
      <c r="R27" s="878"/>
      <c r="S27" s="878"/>
      <c r="T27" s="878"/>
      <c r="U27" s="878"/>
      <c r="V27" s="879"/>
    </row>
    <row r="28" spans="3:22" ht="16" customHeight="1" x14ac:dyDescent="0.35">
      <c r="C28" s="200"/>
      <c r="D28" s="519" t="s">
        <v>419</v>
      </c>
      <c r="E28" s="866">
        <v>0.255</v>
      </c>
      <c r="F28" s="866">
        <v>0.255</v>
      </c>
      <c r="G28" s="866">
        <v>0.255</v>
      </c>
      <c r="H28" s="866">
        <v>0.255</v>
      </c>
      <c r="I28" s="683"/>
      <c r="L28" s="877"/>
      <c r="M28" s="878"/>
      <c r="N28" s="878"/>
      <c r="O28" s="878"/>
      <c r="P28" s="878"/>
      <c r="Q28" s="878"/>
      <c r="R28" s="878"/>
      <c r="S28" s="878"/>
      <c r="T28" s="878"/>
      <c r="U28" s="878"/>
      <c r="V28" s="879"/>
    </row>
    <row r="29" spans="3:22" ht="16" customHeight="1" x14ac:dyDescent="0.35">
      <c r="C29" s="200"/>
      <c r="D29" s="519" t="s">
        <v>416</v>
      </c>
      <c r="E29" s="866"/>
      <c r="F29" s="866"/>
      <c r="G29" s="866"/>
      <c r="H29" s="866"/>
      <c r="I29" s="683"/>
      <c r="L29" s="877"/>
      <c r="M29" s="878"/>
      <c r="N29" s="878"/>
      <c r="O29" s="878"/>
      <c r="P29" s="878"/>
      <c r="Q29" s="878"/>
      <c r="R29" s="878"/>
      <c r="S29" s="878"/>
      <c r="T29" s="878"/>
      <c r="U29" s="878"/>
      <c r="V29" s="879"/>
    </row>
    <row r="30" spans="3:22" ht="16" customHeight="1" x14ac:dyDescent="0.35">
      <c r="C30" s="200" t="s">
        <v>279</v>
      </c>
      <c r="D30" s="144" t="s">
        <v>421</v>
      </c>
      <c r="E30" s="864"/>
      <c r="F30" s="864"/>
      <c r="G30" s="864"/>
      <c r="H30" s="864"/>
      <c r="I30" s="245">
        <f>SUM(E30:H30)</f>
        <v>0</v>
      </c>
      <c r="J30" s="518" t="e">
        <f>I30/$I$42</f>
        <v>#DIV/0!</v>
      </c>
      <c r="L30" s="877"/>
      <c r="M30" s="878"/>
      <c r="N30" s="878"/>
      <c r="O30" s="878"/>
      <c r="P30" s="878"/>
      <c r="Q30" s="878"/>
      <c r="R30" s="878"/>
      <c r="S30" s="878"/>
      <c r="T30" s="878"/>
      <c r="U30" s="878"/>
      <c r="V30" s="879"/>
    </row>
    <row r="31" spans="3:22" ht="16" customHeight="1" x14ac:dyDescent="0.35">
      <c r="C31" s="200"/>
      <c r="D31" s="519" t="s">
        <v>416</v>
      </c>
      <c r="E31" s="866"/>
      <c r="F31" s="866"/>
      <c r="G31" s="866"/>
      <c r="H31" s="866"/>
      <c r="I31" s="683"/>
      <c r="L31" s="877"/>
      <c r="M31" s="878"/>
      <c r="N31" s="878"/>
      <c r="O31" s="878"/>
      <c r="P31" s="878"/>
      <c r="Q31" s="878"/>
      <c r="R31" s="878"/>
      <c r="S31" s="878"/>
      <c r="T31" s="878"/>
      <c r="U31" s="878"/>
      <c r="V31" s="879"/>
    </row>
    <row r="32" spans="3:22" ht="16" customHeight="1" x14ac:dyDescent="0.35">
      <c r="C32" s="200" t="s">
        <v>285</v>
      </c>
      <c r="D32" s="144" t="s">
        <v>422</v>
      </c>
      <c r="E32" s="864"/>
      <c r="F32" s="864"/>
      <c r="G32" s="864"/>
      <c r="H32" s="864"/>
      <c r="I32" s="245">
        <f>SUM(E32:H32)</f>
        <v>0</v>
      </c>
      <c r="J32" s="518" t="e">
        <f>I32/$I$42</f>
        <v>#DIV/0!</v>
      </c>
      <c r="L32" s="877"/>
      <c r="M32" s="878"/>
      <c r="N32" s="878"/>
      <c r="O32" s="878"/>
      <c r="P32" s="878"/>
      <c r="Q32" s="878"/>
      <c r="R32" s="878"/>
      <c r="S32" s="878"/>
      <c r="T32" s="878"/>
      <c r="U32" s="878"/>
      <c r="V32" s="879"/>
    </row>
    <row r="33" spans="3:22" ht="16" customHeight="1" x14ac:dyDescent="0.35">
      <c r="C33" s="200"/>
      <c r="D33" s="519" t="s">
        <v>419</v>
      </c>
      <c r="E33" s="866">
        <v>0.255</v>
      </c>
      <c r="F33" s="866">
        <v>0.255</v>
      </c>
      <c r="G33" s="866">
        <v>0.255</v>
      </c>
      <c r="H33" s="866">
        <v>0.255</v>
      </c>
      <c r="I33" s="683"/>
      <c r="L33" s="877"/>
      <c r="M33" s="878"/>
      <c r="N33" s="878"/>
      <c r="O33" s="878"/>
      <c r="P33" s="878"/>
      <c r="Q33" s="878"/>
      <c r="R33" s="878"/>
      <c r="S33" s="878"/>
      <c r="T33" s="878"/>
      <c r="U33" s="878"/>
      <c r="V33" s="879"/>
    </row>
    <row r="34" spans="3:22" ht="16" customHeight="1" x14ac:dyDescent="0.35">
      <c r="C34" s="200"/>
      <c r="D34" s="519" t="s">
        <v>416</v>
      </c>
      <c r="E34" s="866"/>
      <c r="F34" s="866"/>
      <c r="G34" s="866"/>
      <c r="H34" s="866"/>
      <c r="I34" s="683"/>
      <c r="L34" s="877"/>
      <c r="M34" s="878"/>
      <c r="N34" s="878"/>
      <c r="O34" s="878"/>
      <c r="P34" s="878"/>
      <c r="Q34" s="878"/>
      <c r="R34" s="878"/>
      <c r="S34" s="878"/>
      <c r="T34" s="878"/>
      <c r="U34" s="878"/>
      <c r="V34" s="879"/>
    </row>
    <row r="35" spans="3:22" ht="16" customHeight="1" x14ac:dyDescent="0.35">
      <c r="C35" s="200" t="s">
        <v>286</v>
      </c>
      <c r="D35" s="144" t="s">
        <v>423</v>
      </c>
      <c r="E35" s="864"/>
      <c r="F35" s="864"/>
      <c r="G35" s="864"/>
      <c r="H35" s="864"/>
      <c r="I35" s="245">
        <f>SUM(E35:H35)</f>
        <v>0</v>
      </c>
      <c r="J35" s="518" t="e">
        <f>I35/$I$42</f>
        <v>#DIV/0!</v>
      </c>
      <c r="L35" s="877"/>
      <c r="M35" s="878"/>
      <c r="N35" s="878"/>
      <c r="O35" s="878"/>
      <c r="P35" s="878"/>
      <c r="Q35" s="878"/>
      <c r="R35" s="878"/>
      <c r="S35" s="878"/>
      <c r="T35" s="878"/>
      <c r="U35" s="878"/>
      <c r="V35" s="879"/>
    </row>
    <row r="36" spans="3:22" ht="16" customHeight="1" x14ac:dyDescent="0.35">
      <c r="C36" s="200"/>
      <c r="D36" s="519" t="s">
        <v>419</v>
      </c>
      <c r="E36" s="866"/>
      <c r="F36" s="866"/>
      <c r="G36" s="866"/>
      <c r="H36" s="866"/>
      <c r="I36" s="683"/>
      <c r="L36" s="877"/>
      <c r="M36" s="878"/>
      <c r="N36" s="878"/>
      <c r="O36" s="878"/>
      <c r="P36" s="878"/>
      <c r="Q36" s="878"/>
      <c r="R36" s="878"/>
      <c r="S36" s="878"/>
      <c r="T36" s="878"/>
      <c r="U36" s="878"/>
      <c r="V36" s="879"/>
    </row>
    <row r="37" spans="3:22" ht="16" customHeight="1" x14ac:dyDescent="0.35">
      <c r="C37" s="200"/>
      <c r="D37" s="519" t="s">
        <v>416</v>
      </c>
      <c r="E37" s="866"/>
      <c r="F37" s="866"/>
      <c r="G37" s="866"/>
      <c r="H37" s="866"/>
      <c r="I37" s="683"/>
      <c r="L37" s="877"/>
      <c r="M37" s="878"/>
      <c r="N37" s="878"/>
      <c r="O37" s="878"/>
      <c r="P37" s="878"/>
      <c r="Q37" s="878"/>
      <c r="R37" s="878"/>
      <c r="S37" s="878"/>
      <c r="T37" s="878"/>
      <c r="U37" s="878"/>
      <c r="V37" s="879"/>
    </row>
    <row r="38" spans="3:22" ht="16" customHeight="1" x14ac:dyDescent="0.35">
      <c r="C38" s="200" t="s">
        <v>289</v>
      </c>
      <c r="D38" s="144" t="s">
        <v>323</v>
      </c>
      <c r="E38" s="864"/>
      <c r="F38" s="864"/>
      <c r="G38" s="864"/>
      <c r="H38" s="864"/>
      <c r="I38" s="245">
        <f>SUM(E38:H38)</f>
        <v>0</v>
      </c>
      <c r="J38" s="518" t="e">
        <f>I38/$I$42</f>
        <v>#DIV/0!</v>
      </c>
      <c r="L38" s="877"/>
      <c r="M38" s="878"/>
      <c r="N38" s="878"/>
      <c r="O38" s="878"/>
      <c r="P38" s="878"/>
      <c r="Q38" s="878"/>
      <c r="R38" s="878"/>
      <c r="S38" s="878"/>
      <c r="T38" s="878"/>
      <c r="U38" s="878"/>
      <c r="V38" s="879"/>
    </row>
    <row r="39" spans="3:22" ht="16" customHeight="1" x14ac:dyDescent="0.35">
      <c r="C39" s="200" t="s">
        <v>290</v>
      </c>
      <c r="D39" s="144" t="s">
        <v>424</v>
      </c>
      <c r="E39" s="864"/>
      <c r="F39" s="864"/>
      <c r="G39" s="864"/>
      <c r="H39" s="864"/>
      <c r="I39" s="245">
        <f>SUM(E39:H39)</f>
        <v>0</v>
      </c>
      <c r="J39" s="518" t="e">
        <f>I39/$I$42</f>
        <v>#DIV/0!</v>
      </c>
      <c r="L39" s="877"/>
      <c r="M39" s="878"/>
      <c r="N39" s="878"/>
      <c r="O39" s="878"/>
      <c r="P39" s="878"/>
      <c r="Q39" s="878"/>
      <c r="R39" s="878"/>
      <c r="S39" s="878"/>
      <c r="T39" s="878"/>
      <c r="U39" s="878"/>
      <c r="V39" s="879"/>
    </row>
    <row r="40" spans="3:22" ht="16" customHeight="1" x14ac:dyDescent="0.35">
      <c r="C40" s="200" t="s">
        <v>291</v>
      </c>
      <c r="D40" s="144" t="s">
        <v>671</v>
      </c>
      <c r="E40" s="864"/>
      <c r="F40" s="661"/>
      <c r="G40" s="661"/>
      <c r="H40" s="661"/>
      <c r="I40" s="245"/>
      <c r="J40" s="520"/>
      <c r="L40" s="877"/>
      <c r="M40" s="878"/>
      <c r="N40" s="878"/>
      <c r="O40" s="878"/>
      <c r="P40" s="878"/>
      <c r="Q40" s="878"/>
      <c r="R40" s="878"/>
      <c r="S40" s="878"/>
      <c r="T40" s="878"/>
      <c r="U40" s="878"/>
      <c r="V40" s="879"/>
    </row>
    <row r="41" spans="3:22" ht="16" customHeight="1" thickBot="1" x14ac:dyDescent="0.4">
      <c r="C41" s="532"/>
      <c r="D41" s="585" t="s">
        <v>419</v>
      </c>
      <c r="E41" s="867"/>
      <c r="F41" s="688"/>
      <c r="G41" s="688"/>
      <c r="H41" s="688"/>
      <c r="I41" s="687"/>
      <c r="J41" s="520"/>
      <c r="L41" s="877"/>
      <c r="M41" s="878"/>
      <c r="N41" s="878"/>
      <c r="O41" s="878"/>
      <c r="P41" s="878"/>
      <c r="Q41" s="878"/>
      <c r="R41" s="878"/>
      <c r="S41" s="878"/>
      <c r="T41" s="878"/>
      <c r="U41" s="878"/>
      <c r="V41" s="879"/>
    </row>
    <row r="42" spans="3:22" ht="16" customHeight="1" thickTop="1" thickBot="1" x14ac:dyDescent="0.4">
      <c r="C42" s="189" t="s">
        <v>291</v>
      </c>
      <c r="D42" s="211" t="s">
        <v>425</v>
      </c>
      <c r="E42" s="266">
        <f>E17+E20+E24+E27+E30+E32+E35+E38+E39</f>
        <v>0</v>
      </c>
      <c r="F42" s="266">
        <f t="shared" ref="F42:I42" si="1">F17+F20+F24+F27+F30+F32+F35+F38+F39</f>
        <v>0</v>
      </c>
      <c r="G42" s="266">
        <f t="shared" si="1"/>
        <v>0</v>
      </c>
      <c r="H42" s="266">
        <f t="shared" si="1"/>
        <v>0</v>
      </c>
      <c r="I42" s="521">
        <f t="shared" si="1"/>
        <v>0</v>
      </c>
      <c r="J42" s="522" t="e">
        <f>I42/$I$42</f>
        <v>#DIV/0!</v>
      </c>
      <c r="L42" s="877"/>
      <c r="M42" s="878"/>
      <c r="N42" s="878"/>
      <c r="O42" s="878"/>
      <c r="P42" s="878"/>
      <c r="Q42" s="878"/>
      <c r="R42" s="878"/>
      <c r="S42" s="878"/>
      <c r="T42" s="878"/>
      <c r="U42" s="878"/>
      <c r="V42" s="879"/>
    </row>
    <row r="43" spans="3:22" ht="16" customHeight="1" thickBot="1" x14ac:dyDescent="0.4">
      <c r="L43" s="877"/>
      <c r="M43" s="878"/>
      <c r="N43" s="878"/>
      <c r="O43" s="878"/>
      <c r="P43" s="878"/>
      <c r="Q43" s="878"/>
      <c r="R43" s="878"/>
      <c r="S43" s="878"/>
      <c r="T43" s="878"/>
      <c r="U43" s="878"/>
      <c r="V43" s="879"/>
    </row>
    <row r="44" spans="3:22" ht="16" customHeight="1" x14ac:dyDescent="0.35">
      <c r="C44" s="408"/>
      <c r="D44" s="515"/>
      <c r="E44" s="516" t="s">
        <v>447</v>
      </c>
      <c r="F44" s="516" t="s">
        <v>444</v>
      </c>
      <c r="G44" s="516" t="s">
        <v>445</v>
      </c>
      <c r="H44" s="516" t="s">
        <v>446</v>
      </c>
      <c r="I44" s="1010" t="s">
        <v>83</v>
      </c>
      <c r="L44" s="877"/>
      <c r="M44" s="878"/>
      <c r="N44" s="878"/>
      <c r="O44" s="878"/>
      <c r="P44" s="878"/>
      <c r="Q44" s="878"/>
      <c r="R44" s="878"/>
      <c r="S44" s="878"/>
      <c r="T44" s="878"/>
      <c r="U44" s="878"/>
      <c r="V44" s="879"/>
    </row>
    <row r="45" spans="3:22" ht="16" customHeight="1" x14ac:dyDescent="0.4">
      <c r="C45" s="517" t="s">
        <v>426</v>
      </c>
      <c r="D45" s="409"/>
      <c r="E45" s="523">
        <f>E16</f>
        <v>2026</v>
      </c>
      <c r="F45" s="523">
        <f>F16</f>
        <v>2027</v>
      </c>
      <c r="G45" s="523">
        <f>G16</f>
        <v>2028</v>
      </c>
      <c r="H45" s="523">
        <f>H16</f>
        <v>2029</v>
      </c>
      <c r="I45" s="1011"/>
      <c r="L45" s="877"/>
      <c r="M45" s="878"/>
      <c r="N45" s="878"/>
      <c r="O45" s="878"/>
      <c r="P45" s="878"/>
      <c r="Q45" s="878"/>
      <c r="R45" s="878"/>
      <c r="S45" s="878"/>
      <c r="T45" s="878"/>
      <c r="U45" s="878"/>
      <c r="V45" s="879"/>
    </row>
    <row r="46" spans="3:22" ht="16" customHeight="1" x14ac:dyDescent="0.35">
      <c r="C46" s="244" t="s">
        <v>427</v>
      </c>
      <c r="D46" s="524"/>
      <c r="E46" s="525">
        <f>E48+E49+E50+E51+E52</f>
        <v>0</v>
      </c>
      <c r="F46" s="525">
        <f t="shared" ref="F46:H46" si="2">F48+F49+F50+F51+F52</f>
        <v>0</v>
      </c>
      <c r="G46" s="525">
        <f t="shared" si="2"/>
        <v>0</v>
      </c>
      <c r="H46" s="525">
        <f t="shared" si="2"/>
        <v>0</v>
      </c>
      <c r="I46" s="526">
        <f>SUM(E46:H46)</f>
        <v>0</v>
      </c>
      <c r="J46" s="522" t="e">
        <f>I46/$I$62</f>
        <v>#DIV/0!</v>
      </c>
      <c r="L46" s="877"/>
      <c r="M46" s="878"/>
      <c r="N46" s="878"/>
      <c r="O46" s="878"/>
      <c r="P46" s="878"/>
      <c r="Q46" s="878"/>
      <c r="R46" s="878"/>
      <c r="S46" s="878"/>
      <c r="T46" s="878"/>
      <c r="U46" s="878"/>
      <c r="V46" s="879"/>
    </row>
    <row r="47" spans="3:22" ht="16" customHeight="1" x14ac:dyDescent="0.35">
      <c r="C47" s="174" t="s">
        <v>292</v>
      </c>
      <c r="D47" s="5" t="s">
        <v>796</v>
      </c>
      <c r="E47" s="529"/>
      <c r="F47" s="530"/>
      <c r="G47" s="530"/>
      <c r="H47" s="530"/>
      <c r="I47" s="531"/>
      <c r="J47" s="520"/>
      <c r="L47" s="877"/>
      <c r="M47" s="878"/>
      <c r="N47" s="878"/>
      <c r="O47" s="878"/>
      <c r="P47" s="878"/>
      <c r="Q47" s="878"/>
      <c r="R47" s="878"/>
      <c r="S47" s="878"/>
      <c r="T47" s="878"/>
      <c r="U47" s="878"/>
      <c r="V47" s="879"/>
    </row>
    <row r="48" spans="3:22" ht="16" customHeight="1" x14ac:dyDescent="0.35">
      <c r="C48" s="204"/>
      <c r="D48" s="3" t="s">
        <v>428</v>
      </c>
      <c r="E48" s="868"/>
      <c r="F48" s="869"/>
      <c r="G48" s="869"/>
      <c r="H48" s="869"/>
      <c r="I48" s="527">
        <f>SUM(E48:H48)</f>
        <v>0</v>
      </c>
      <c r="J48" s="518" t="e">
        <f t="shared" ref="J48:J62" si="3">I48/$I$62</f>
        <v>#DIV/0!</v>
      </c>
      <c r="L48" s="877"/>
      <c r="M48" s="878"/>
      <c r="N48" s="878"/>
      <c r="O48" s="878"/>
      <c r="P48" s="878"/>
      <c r="Q48" s="878"/>
      <c r="R48" s="878"/>
      <c r="S48" s="878"/>
      <c r="T48" s="878"/>
      <c r="U48" s="878"/>
      <c r="V48" s="879"/>
    </row>
    <row r="49" spans="3:22" ht="16" customHeight="1" x14ac:dyDescent="0.35">
      <c r="C49" s="200"/>
      <c r="D49" s="144" t="s">
        <v>429</v>
      </c>
      <c r="E49" s="864"/>
      <c r="F49" s="864"/>
      <c r="G49" s="864"/>
      <c r="H49" s="864"/>
      <c r="I49" s="245">
        <f t="shared" ref="I49:I61" si="4">SUM(E49:H49)</f>
        <v>0</v>
      </c>
      <c r="J49" s="518" t="e">
        <f t="shared" si="3"/>
        <v>#DIV/0!</v>
      </c>
      <c r="L49" s="877"/>
      <c r="M49" s="878"/>
      <c r="N49" s="878"/>
      <c r="O49" s="878"/>
      <c r="P49" s="878"/>
      <c r="Q49" s="878"/>
      <c r="R49" s="878"/>
      <c r="S49" s="878"/>
      <c r="T49" s="878"/>
      <c r="U49" s="878"/>
      <c r="V49" s="879"/>
    </row>
    <row r="50" spans="3:22" ht="16" customHeight="1" x14ac:dyDescent="0.35">
      <c r="C50" s="200" t="s">
        <v>297</v>
      </c>
      <c r="D50" s="144" t="s">
        <v>430</v>
      </c>
      <c r="E50" s="151">
        <f>E42-E48-E49-E51-E52-E55-E56-E57-E58-E59-E60-E61</f>
        <v>0</v>
      </c>
      <c r="F50" s="151">
        <f>F42-F48-F49-F51-F52-F55-F56-F57-F58-F59-F60-F61</f>
        <v>0</v>
      </c>
      <c r="G50" s="151">
        <f>G42-G48-G49-G51-G52-G55-G56-G57-G58-G59-G60-G61</f>
        <v>0</v>
      </c>
      <c r="H50" s="151">
        <f>H42-H48-H49-H51-H52-H55-H56-H57-H58-H59-H60-H61</f>
        <v>0</v>
      </c>
      <c r="I50" s="245">
        <f t="shared" si="4"/>
        <v>0</v>
      </c>
      <c r="J50" s="518" t="e">
        <f t="shared" si="3"/>
        <v>#DIV/0!</v>
      </c>
      <c r="L50" s="743" t="str">
        <f>IF(E50&lt;0,"LISÄÄ LUKU KOHTAAN 9. Käyttöpääoman lisäys!",IF(F50&lt;0,"LISÄÄ LUKU KOHTAAN 9. Käyttöpääoman lisäys!",IF(G50&lt;0,"LISÄÄ LUKU KOHTAAN 9. Käyttöpääoman lisäys!",IF(H50&lt;0,"LISÄÄ LUKU KOHTAAN 9. Käyttöpääoman lisäys!",""))))</f>
        <v/>
      </c>
      <c r="M50" s="878"/>
      <c r="N50" s="878"/>
      <c r="O50" s="878"/>
      <c r="P50" s="878"/>
      <c r="Q50" s="878"/>
      <c r="R50" s="878"/>
      <c r="S50" s="878"/>
      <c r="T50" s="878"/>
      <c r="U50" s="878"/>
      <c r="V50" s="879"/>
    </row>
    <row r="51" spans="3:22" ht="16" customHeight="1" x14ac:dyDescent="0.35">
      <c r="C51" s="200" t="s">
        <v>299</v>
      </c>
      <c r="D51" s="144" t="s">
        <v>431</v>
      </c>
      <c r="E51" s="864"/>
      <c r="F51" s="864"/>
      <c r="G51" s="864"/>
      <c r="H51" s="864"/>
      <c r="I51" s="245">
        <f t="shared" si="4"/>
        <v>0</v>
      </c>
      <c r="J51" s="518" t="e">
        <f t="shared" si="3"/>
        <v>#DIV/0!</v>
      </c>
      <c r="L51" s="877"/>
      <c r="M51" s="878"/>
      <c r="N51" s="878"/>
      <c r="O51" s="878"/>
      <c r="P51" s="878"/>
      <c r="Q51" s="878"/>
      <c r="R51" s="878"/>
      <c r="S51" s="878"/>
      <c r="T51" s="878"/>
      <c r="U51" s="878"/>
      <c r="V51" s="879"/>
    </row>
    <row r="52" spans="3:22" ht="16" customHeight="1" x14ac:dyDescent="0.35">
      <c r="C52" s="200" t="s">
        <v>300</v>
      </c>
      <c r="D52" s="871" t="s">
        <v>432</v>
      </c>
      <c r="E52" s="870"/>
      <c r="F52" s="864"/>
      <c r="G52" s="864"/>
      <c r="H52" s="864"/>
      <c r="I52" s="245">
        <f t="shared" si="4"/>
        <v>0</v>
      </c>
      <c r="J52" s="518" t="e">
        <f t="shared" si="3"/>
        <v>#DIV/0!</v>
      </c>
      <c r="L52" s="743" t="str">
        <f>IF(E52&gt;0,"Jos myydään omaisuutta tai sijoituksia, lisää luku 3 TASEen kohtaan Vähennys tilikaudella!",IF(F52&gt;0,"Jos myydään omaisuutta tai sijoituksia, lisää luku 3 TASEen kohtaan Vähennys tilikaudella!",IF(G52&gt;0,"Jos myydään omaisuutta tai sijoituksia, lisää luku 3 TASEen kohtaan Vähennys tilikaudella!",IF(H52&gt;0,"Jos myydään omaisuutta tai sijoituksia, lisää luku 3 TASEen kohtaan Vähennys tilikaudella!",""))))</f>
        <v/>
      </c>
      <c r="M52" s="878"/>
      <c r="N52" s="878"/>
      <c r="O52" s="878"/>
      <c r="P52" s="878"/>
      <c r="Q52" s="878"/>
      <c r="R52" s="878"/>
      <c r="S52" s="878"/>
      <c r="T52" s="878"/>
      <c r="U52" s="878"/>
      <c r="V52" s="879"/>
    </row>
    <row r="53" spans="3:22" ht="16" customHeight="1" x14ac:dyDescent="0.35">
      <c r="C53" s="244" t="s">
        <v>433</v>
      </c>
      <c r="D53" s="150"/>
      <c r="E53" s="525">
        <f>E55+E56+E57+E58+E59+E60+E61</f>
        <v>0</v>
      </c>
      <c r="F53" s="525">
        <f t="shared" ref="F53:H53" si="5">F55+F56+F57+F58+F59+F60+F61</f>
        <v>0</v>
      </c>
      <c r="G53" s="525">
        <f t="shared" si="5"/>
        <v>0</v>
      </c>
      <c r="H53" s="525">
        <f t="shared" si="5"/>
        <v>0</v>
      </c>
      <c r="I53" s="526">
        <f>SUM(E53:H53)</f>
        <v>0</v>
      </c>
      <c r="J53" s="522" t="e">
        <f t="shared" si="3"/>
        <v>#DIV/0!</v>
      </c>
      <c r="L53" s="877"/>
      <c r="M53" s="878"/>
      <c r="N53" s="878"/>
      <c r="O53" s="878"/>
      <c r="P53" s="878"/>
      <c r="Q53" s="878"/>
      <c r="R53" s="878"/>
      <c r="S53" s="878"/>
      <c r="T53" s="878"/>
      <c r="U53" s="878"/>
      <c r="V53" s="879"/>
    </row>
    <row r="54" spans="3:22" ht="16" customHeight="1" x14ac:dyDescent="0.35">
      <c r="C54" s="174"/>
      <c r="D54" s="528" t="s">
        <v>622</v>
      </c>
      <c r="E54" s="529"/>
      <c r="F54" s="530"/>
      <c r="G54" s="530"/>
      <c r="H54" s="530"/>
      <c r="I54" s="531"/>
      <c r="J54" s="520"/>
      <c r="L54" s="877"/>
      <c r="M54" s="878"/>
      <c r="N54" s="878"/>
      <c r="O54" s="878"/>
      <c r="P54" s="878"/>
      <c r="Q54" s="878"/>
      <c r="R54" s="878"/>
      <c r="S54" s="878"/>
      <c r="T54" s="878"/>
      <c r="U54" s="878"/>
      <c r="V54" s="879"/>
    </row>
    <row r="55" spans="3:22" ht="16" customHeight="1" x14ac:dyDescent="0.35">
      <c r="C55" s="204" t="s">
        <v>301</v>
      </c>
      <c r="D55" s="872" t="s">
        <v>435</v>
      </c>
      <c r="E55" s="868"/>
      <c r="F55" s="869"/>
      <c r="G55" s="869"/>
      <c r="H55" s="869"/>
      <c r="I55" s="527">
        <f t="shared" si="4"/>
        <v>0</v>
      </c>
      <c r="J55" s="518" t="e">
        <f t="shared" si="3"/>
        <v>#DIV/0!</v>
      </c>
      <c r="L55" s="877"/>
      <c r="M55" s="878"/>
      <c r="N55" s="878"/>
      <c r="O55" s="878"/>
      <c r="P55" s="878"/>
      <c r="Q55" s="878"/>
      <c r="R55" s="878"/>
      <c r="S55" s="878"/>
      <c r="T55" s="878"/>
      <c r="U55" s="878"/>
      <c r="V55" s="879"/>
    </row>
    <row r="56" spans="3:22" ht="16" customHeight="1" x14ac:dyDescent="0.35">
      <c r="C56" s="204" t="s">
        <v>302</v>
      </c>
      <c r="D56" s="872" t="s">
        <v>436</v>
      </c>
      <c r="E56" s="864"/>
      <c r="F56" s="864"/>
      <c r="G56" s="864"/>
      <c r="H56" s="864"/>
      <c r="I56" s="245">
        <f t="shared" si="4"/>
        <v>0</v>
      </c>
      <c r="J56" s="518" t="e">
        <f t="shared" si="3"/>
        <v>#DIV/0!</v>
      </c>
      <c r="L56" s="877"/>
      <c r="M56" s="878"/>
      <c r="N56" s="878"/>
      <c r="O56" s="878"/>
      <c r="P56" s="878"/>
      <c r="Q56" s="878"/>
      <c r="R56" s="878"/>
      <c r="S56" s="878"/>
      <c r="T56" s="878"/>
      <c r="U56" s="878"/>
      <c r="V56" s="879"/>
    </row>
    <row r="57" spans="3:22" ht="16" customHeight="1" x14ac:dyDescent="0.35">
      <c r="C57" s="200" t="s">
        <v>303</v>
      </c>
      <c r="D57" s="871" t="s">
        <v>437</v>
      </c>
      <c r="E57" s="864"/>
      <c r="F57" s="864"/>
      <c r="G57" s="864"/>
      <c r="H57" s="864"/>
      <c r="I57" s="245">
        <f t="shared" si="4"/>
        <v>0</v>
      </c>
      <c r="J57" s="518" t="e">
        <f t="shared" si="3"/>
        <v>#DIV/0!</v>
      </c>
      <c r="L57" s="877"/>
      <c r="M57" s="878"/>
      <c r="N57" s="878"/>
      <c r="O57" s="878"/>
      <c r="P57" s="878"/>
      <c r="Q57" s="878"/>
      <c r="R57" s="878"/>
      <c r="S57" s="878"/>
      <c r="T57" s="878"/>
      <c r="U57" s="878"/>
      <c r="V57" s="879"/>
    </row>
    <row r="58" spans="3:22" ht="16" customHeight="1" x14ac:dyDescent="0.35">
      <c r="C58" s="200" t="s">
        <v>304</v>
      </c>
      <c r="D58" s="144" t="s">
        <v>438</v>
      </c>
      <c r="E58" s="864"/>
      <c r="F58" s="864"/>
      <c r="G58" s="864"/>
      <c r="H58" s="864"/>
      <c r="I58" s="245">
        <f t="shared" si="4"/>
        <v>0</v>
      </c>
      <c r="J58" s="518" t="e">
        <f t="shared" si="3"/>
        <v>#DIV/0!</v>
      </c>
      <c r="L58" s="881"/>
      <c r="M58" s="878"/>
      <c r="N58" s="878"/>
      <c r="O58" s="878"/>
      <c r="P58" s="878"/>
      <c r="Q58" s="878"/>
      <c r="R58" s="878"/>
      <c r="S58" s="878"/>
      <c r="T58" s="878"/>
      <c r="U58" s="878"/>
      <c r="V58" s="879"/>
    </row>
    <row r="59" spans="3:22" ht="16" customHeight="1" x14ac:dyDescent="0.35">
      <c r="C59" s="200" t="s">
        <v>305</v>
      </c>
      <c r="D59" s="144" t="s">
        <v>439</v>
      </c>
      <c r="E59" s="864"/>
      <c r="F59" s="864"/>
      <c r="G59" s="864"/>
      <c r="H59" s="864"/>
      <c r="I59" s="245">
        <f t="shared" si="4"/>
        <v>0</v>
      </c>
      <c r="J59" s="518" t="e">
        <f t="shared" si="3"/>
        <v>#DIV/0!</v>
      </c>
      <c r="L59" s="881"/>
      <c r="M59" s="878"/>
      <c r="N59" s="878"/>
      <c r="O59" s="878"/>
      <c r="P59" s="878"/>
      <c r="Q59" s="878"/>
      <c r="R59" s="878"/>
      <c r="S59" s="878"/>
      <c r="T59" s="878"/>
      <c r="U59" s="878"/>
      <c r="V59" s="879"/>
    </row>
    <row r="60" spans="3:22" ht="16" customHeight="1" x14ac:dyDescent="0.35">
      <c r="C60" s="200" t="s">
        <v>306</v>
      </c>
      <c r="D60" s="144" t="s">
        <v>440</v>
      </c>
      <c r="E60" s="151">
        <f>(E20*(E22/(1+E22)))+((E27-E58)*E28/(1+E28))+(E32*(E33/(1+E33))+(E35*(E36/(1+E36))))</f>
        <v>0</v>
      </c>
      <c r="F60" s="151">
        <f>(F20*(F22/(1+F22)))+((F27-F58)*F28/(1+F28))+(F32*(F33/(1+F33))+(F35*(F36/(1+F36))))</f>
        <v>0</v>
      </c>
      <c r="G60" s="151">
        <f>(G20*(G22/(1+G22)))+((G27-G58)*G28/(1+G28))+(G32*(G33/(1+G33))+(G35*(G36/(1+G36))))</f>
        <v>0</v>
      </c>
      <c r="H60" s="151">
        <f>(H20*(H22/(1+H22)))+((H27-H58)*H28/(1+H28))+(H32*(H33/(1+H33))+(H35*(H36/(1+H36))))</f>
        <v>0</v>
      </c>
      <c r="I60" s="245">
        <f t="shared" si="4"/>
        <v>0</v>
      </c>
      <c r="J60" s="518" t="e">
        <f t="shared" si="3"/>
        <v>#DIV/0!</v>
      </c>
      <c r="K60" s="161"/>
      <c r="L60" s="877"/>
      <c r="M60" s="878"/>
      <c r="N60" s="878"/>
      <c r="O60" s="878"/>
      <c r="P60" s="878"/>
      <c r="Q60" s="878"/>
      <c r="R60" s="878"/>
      <c r="S60" s="878"/>
      <c r="T60" s="878"/>
      <c r="U60" s="878"/>
      <c r="V60" s="879"/>
    </row>
    <row r="61" spans="3:22" ht="16" customHeight="1" thickBot="1" x14ac:dyDescent="0.4">
      <c r="C61" s="532" t="s">
        <v>307</v>
      </c>
      <c r="D61" s="533" t="s">
        <v>441</v>
      </c>
      <c r="E61" s="153">
        <f>(E17*E19)+(E20/(1+E22)*E23)+(E24*E26)+((E27-E58)/(1+E28)*E29)+((E30-E59)*E31)+(E32/(1+E33)*E34)+(E35/(1+E36)*E37)</f>
        <v>0</v>
      </c>
      <c r="F61" s="153">
        <f>(F17*F19)+(F20/(1+F22)*F23)+(F24*F26)+((F27-F58)/(1+F28)*F29)+((F30-F59)*F31)+(F32/(1+F33)*F34)+(F35/(1+F36)*F37)</f>
        <v>0</v>
      </c>
      <c r="G61" s="153">
        <f>(G17*G19)+(G20/(1+G22)*G23)+(G24*G26)+((G27-G58)/(1+G28)*G29)+((G30-G59)*G31)+(G32/(1+G33)*G34)+(G35/(1+G36)*G37)</f>
        <v>0</v>
      </c>
      <c r="H61" s="153">
        <f>(H17*H19)+(H20/(1+H22)*H23)+(H24*H26)+((H27-H58)/(1+H28)*H29)+((H30-H59)*H31)+(H32/(1+H33)*H34)+(H35/(1+H36)*H37)</f>
        <v>0</v>
      </c>
      <c r="I61" s="534">
        <f t="shared" si="4"/>
        <v>0</v>
      </c>
      <c r="J61" s="518" t="e">
        <f t="shared" si="3"/>
        <v>#DIV/0!</v>
      </c>
      <c r="K61" s="161"/>
      <c r="L61" s="877"/>
      <c r="M61" s="878"/>
      <c r="N61" s="878"/>
      <c r="O61" s="878"/>
      <c r="P61" s="878"/>
      <c r="Q61" s="878"/>
      <c r="R61" s="878"/>
      <c r="S61" s="878"/>
      <c r="T61" s="878"/>
      <c r="U61" s="878"/>
      <c r="V61" s="879"/>
    </row>
    <row r="62" spans="3:22" ht="16" customHeight="1" thickTop="1" thickBot="1" x14ac:dyDescent="0.4">
      <c r="C62" s="189" t="s">
        <v>308</v>
      </c>
      <c r="D62" s="211" t="s">
        <v>442</v>
      </c>
      <c r="E62" s="266">
        <f>E48+E49+E50+E51+E52+E55+E56+E57+E58+E59+E60+E61</f>
        <v>0</v>
      </c>
      <c r="F62" s="266">
        <f>F48+F49+F50+F51+F52+F55+F56+F57+F58+F59+F60+F61</f>
        <v>0</v>
      </c>
      <c r="G62" s="266">
        <f t="shared" ref="G62:H62" si="6">G48+G49+G50+G51+G52+G55+G56+G57+G58+G59+G60+G61</f>
        <v>0</v>
      </c>
      <c r="H62" s="266">
        <f t="shared" si="6"/>
        <v>0</v>
      </c>
      <c r="I62" s="521">
        <f>SUM(E62:H62)</f>
        <v>0</v>
      </c>
      <c r="J62" s="522" t="e">
        <f t="shared" si="3"/>
        <v>#DIV/0!</v>
      </c>
      <c r="L62" s="877"/>
      <c r="M62" s="878"/>
      <c r="N62" s="878"/>
      <c r="O62" s="878"/>
      <c r="P62" s="878"/>
      <c r="Q62" s="878"/>
      <c r="R62" s="878"/>
      <c r="S62" s="878"/>
      <c r="T62" s="878"/>
      <c r="U62" s="878"/>
      <c r="V62" s="879"/>
    </row>
    <row r="63" spans="3:22" ht="5.15" customHeight="1" thickBot="1" x14ac:dyDescent="0.4">
      <c r="E63" s="129"/>
      <c r="F63" s="129"/>
      <c r="G63" s="129"/>
      <c r="H63" s="129"/>
      <c r="I63" s="129"/>
      <c r="L63" s="877"/>
      <c r="M63" s="878"/>
      <c r="N63" s="878"/>
      <c r="O63" s="878"/>
      <c r="P63" s="878"/>
      <c r="Q63" s="878"/>
      <c r="R63" s="878"/>
      <c r="S63" s="878"/>
      <c r="T63" s="878"/>
      <c r="U63" s="878"/>
      <c r="V63" s="879"/>
    </row>
    <row r="64" spans="3:22" ht="16" customHeight="1" thickBot="1" x14ac:dyDescent="0.4">
      <c r="C64" s="535" t="s">
        <v>309</v>
      </c>
      <c r="D64" s="536" t="s">
        <v>443</v>
      </c>
      <c r="E64" s="873"/>
      <c r="F64" s="873"/>
      <c r="G64" s="873"/>
      <c r="H64" s="873"/>
      <c r="I64" s="218"/>
      <c r="L64" s="882"/>
      <c r="M64" s="883"/>
      <c r="N64" s="883"/>
      <c r="O64" s="883"/>
      <c r="P64" s="883"/>
      <c r="Q64" s="883"/>
      <c r="R64" s="883"/>
      <c r="S64" s="883"/>
      <c r="T64" s="883"/>
      <c r="U64" s="883"/>
      <c r="V64" s="884"/>
    </row>
    <row r="65" spans="4:9" ht="16" customHeight="1" x14ac:dyDescent="0.35">
      <c r="D65" s="214" t="s">
        <v>588</v>
      </c>
      <c r="E65" s="215">
        <f>E42-E62</f>
        <v>0</v>
      </c>
      <c r="F65" s="215">
        <f>F42-F62</f>
        <v>0</v>
      </c>
      <c r="G65" s="215">
        <f>G42-G62</f>
        <v>0</v>
      </c>
      <c r="H65" s="215">
        <f>H42-H62</f>
        <v>0</v>
      </c>
      <c r="I65" s="537">
        <f>SUM(E65:H65)</f>
        <v>0</v>
      </c>
    </row>
    <row r="67" spans="4:9" ht="16" customHeight="1" x14ac:dyDescent="0.4">
      <c r="D67" s="14" t="s">
        <v>587</v>
      </c>
      <c r="E67" s="538">
        <f>E45</f>
        <v>2026</v>
      </c>
      <c r="F67" s="538">
        <f t="shared" ref="F67:H67" si="7">F45</f>
        <v>2027</v>
      </c>
      <c r="G67" s="538">
        <f t="shared" si="7"/>
        <v>2028</v>
      </c>
      <c r="H67" s="538">
        <f t="shared" si="7"/>
        <v>2029</v>
      </c>
    </row>
    <row r="68" spans="4:9" ht="16" customHeight="1" x14ac:dyDescent="0.35">
      <c r="D68" s="53" t="s">
        <v>438</v>
      </c>
      <c r="E68" s="733" t="e">
        <f>E58/E27</f>
        <v>#DIV/0!</v>
      </c>
      <c r="F68" s="733" t="e">
        <f>F58/F27</f>
        <v>#DIV/0!</v>
      </c>
      <c r="G68" s="733" t="e">
        <f>G58/G27</f>
        <v>#DIV/0!</v>
      </c>
      <c r="H68" s="733" t="e">
        <f>H58/H27</f>
        <v>#DIV/0!</v>
      </c>
    </row>
    <row r="69" spans="4:9" ht="16" customHeight="1" x14ac:dyDescent="0.35">
      <c r="D69" s="53" t="s">
        <v>439</v>
      </c>
      <c r="E69" s="733" t="e">
        <f>E59/E30</f>
        <v>#DIV/0!</v>
      </c>
      <c r="F69" s="733" t="e">
        <f>F59/F30</f>
        <v>#DIV/0!</v>
      </c>
      <c r="G69" s="733" t="e">
        <f>G59/G30</f>
        <v>#DIV/0!</v>
      </c>
      <c r="H69" s="733" t="e">
        <f>H59/H30</f>
        <v>#DIV/0!</v>
      </c>
    </row>
    <row r="70" spans="4:9" ht="16" customHeight="1" x14ac:dyDescent="0.35">
      <c r="D70" s="214" t="s">
        <v>625</v>
      </c>
    </row>
    <row r="73" spans="4:9" ht="16" customHeight="1" x14ac:dyDescent="0.35">
      <c r="D73" s="197" t="s">
        <v>578</v>
      </c>
    </row>
    <row r="74" spans="4:9" ht="16" customHeight="1" x14ac:dyDescent="0.35">
      <c r="D74" s="1012" t="s">
        <v>579</v>
      </c>
    </row>
    <row r="75" spans="4:9" ht="16" customHeight="1" x14ac:dyDescent="0.35">
      <c r="D75" s="1012"/>
    </row>
    <row r="76" spans="4:9" ht="16" customHeight="1" x14ac:dyDescent="0.35">
      <c r="D76" s="1012"/>
    </row>
  </sheetData>
  <sheetProtection algorithmName="SHA-512" hashValue="4BuNtx0UHVEvtOlIavE5u/tf4Qu27bqLedvaYJL9NhTqHVXLC/YqrS1PbqO4JcAQDAMuykkvs5nVByDjiWErdw==" saltValue="ENMtbWMp7DjMHSETB3T8oA==" spinCount="100000" sheet="1" objects="1" scenarios="1" formatCells="0" selectLockedCells="1"/>
  <mergeCells count="4">
    <mergeCell ref="I44:I45"/>
    <mergeCell ref="I15:I16"/>
    <mergeCell ref="D74:D76"/>
    <mergeCell ref="D11:D13"/>
  </mergeCells>
  <phoneticPr fontId="10" type="noConversion"/>
  <pageMargins left="0.7" right="0.7" top="0.75" bottom="0.75" header="0.3" footer="0.3"/>
  <pageSetup orientation="portrait" horizontalDpi="1200" verticalDpi="1200" r:id="rId1"/>
  <ignoredErrors>
    <ignoredError sqref="I61 F61" formula="1"/>
    <ignoredError sqref="J17:J42 J46:J62 E68:H69" evalError="1"/>
  </ignoredError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6E18-00C6-4207-8099-E7B93ED9D593}">
  <sheetPr codeName="Sheet5">
    <tabColor theme="7" tint="0.79998168889431442"/>
  </sheetPr>
  <dimension ref="C2:H82"/>
  <sheetViews>
    <sheetView workbookViewId="0">
      <selection activeCell="H2" sqref="H2"/>
    </sheetView>
  </sheetViews>
  <sheetFormatPr defaultColWidth="9.1796875" defaultRowHeight="14.5" x14ac:dyDescent="0.35"/>
  <cols>
    <col min="1" max="2" width="2.7265625" style="5" customWidth="1"/>
    <col min="3" max="3" width="55.7265625" style="5" customWidth="1"/>
    <col min="4" max="8" width="12.7265625" style="5" customWidth="1"/>
    <col min="9" max="11" width="10.7265625" style="5" customWidth="1"/>
    <col min="12" max="16384" width="9.1796875" style="5"/>
  </cols>
  <sheetData>
    <row r="2" spans="3:8" ht="21" x14ac:dyDescent="0.5">
      <c r="C2" s="16" t="s">
        <v>683</v>
      </c>
    </row>
    <row r="4" spans="3:8" ht="15" thickBot="1" x14ac:dyDescent="0.4"/>
    <row r="5" spans="3:8" x14ac:dyDescent="0.35">
      <c r="C5" s="340" t="s">
        <v>676</v>
      </c>
      <c r="D5" s="539"/>
      <c r="E5" s="539"/>
      <c r="F5" s="539"/>
      <c r="G5" s="539"/>
      <c r="H5" s="540"/>
    </row>
    <row r="6" spans="3:8" x14ac:dyDescent="0.35">
      <c r="C6" s="541"/>
      <c r="D6" s="341"/>
      <c r="E6" s="341"/>
      <c r="F6" s="341"/>
      <c r="G6" s="341"/>
      <c r="H6" s="542"/>
    </row>
    <row r="7" spans="3:8" x14ac:dyDescent="0.35">
      <c r="C7" s="174"/>
      <c r="D7" s="354" t="str">
        <f>'1 INVESTOINTISUUNNITELMA'!E15</f>
        <v>Ennuste 1</v>
      </c>
      <c r="E7" s="354" t="str">
        <f>'1 INVESTOINTISUUNNITELMA'!F15</f>
        <v>Ennuste 2</v>
      </c>
      <c r="F7" s="354" t="str">
        <f>'1 INVESTOINTISUUNNITELMA'!G15</f>
        <v>Ennuste 3</v>
      </c>
      <c r="G7" s="354" t="str">
        <f>'1 INVESTOINTISUUNNITELMA'!H15</f>
        <v>Ennuste 4</v>
      </c>
      <c r="H7" s="193"/>
    </row>
    <row r="8" spans="3:8" x14ac:dyDescent="0.35">
      <c r="C8" s="543" t="s">
        <v>682</v>
      </c>
      <c r="D8" s="157">
        <f>'1 INVESTOINTISUUNNITELMA'!E16</f>
        <v>2026</v>
      </c>
      <c r="E8" s="157">
        <f>'1 INVESTOINTISUUNNITELMA'!F16</f>
        <v>2027</v>
      </c>
      <c r="F8" s="157">
        <f>'1 INVESTOINTISUUNNITELMA'!G16</f>
        <v>2028</v>
      </c>
      <c r="G8" s="157">
        <f>'1 INVESTOINTISUUNNITELMA'!H16</f>
        <v>2029</v>
      </c>
      <c r="H8" s="339" t="s">
        <v>83</v>
      </c>
    </row>
    <row r="9" spans="3:8" x14ac:dyDescent="0.35">
      <c r="C9" s="198" t="s">
        <v>722</v>
      </c>
      <c r="D9" s="151">
        <f>'1 INVESTOINTISUUNNITELMA'!E17</f>
        <v>0</v>
      </c>
      <c r="E9" s="151">
        <f>'1 INVESTOINTISUUNNITELMA'!F17</f>
        <v>0</v>
      </c>
      <c r="F9" s="151">
        <f>'1 INVESTOINTISUUNNITELMA'!G17</f>
        <v>0</v>
      </c>
      <c r="G9" s="151">
        <f>'1 INVESTOINTISUUNNITELMA'!H17</f>
        <v>0</v>
      </c>
      <c r="H9" s="245">
        <f>SUM(D9:G9)</f>
        <v>0</v>
      </c>
    </row>
    <row r="10" spans="3:8" x14ac:dyDescent="0.35">
      <c r="C10" s="198" t="s">
        <v>723</v>
      </c>
      <c r="D10" s="151">
        <f>'1 INVESTOINTISUUNNITELMA'!E20</f>
        <v>0</v>
      </c>
      <c r="E10" s="151">
        <f>'1 INVESTOINTISUUNNITELMA'!F20</f>
        <v>0</v>
      </c>
      <c r="F10" s="151">
        <f>'1 INVESTOINTISUUNNITELMA'!G20</f>
        <v>0</v>
      </c>
      <c r="G10" s="151">
        <f>'1 INVESTOINTISUUNNITELMA'!H20</f>
        <v>0</v>
      </c>
      <c r="H10" s="245">
        <f t="shared" ref="H10:H15" si="0">SUM(D10:G10)</f>
        <v>0</v>
      </c>
    </row>
    <row r="11" spans="3:8" x14ac:dyDescent="0.35">
      <c r="C11" s="198" t="s">
        <v>724</v>
      </c>
      <c r="D11" s="151">
        <f>'1 INVESTOINTISUUNNITELMA'!E24</f>
        <v>0</v>
      </c>
      <c r="E11" s="151">
        <f>'1 INVESTOINTISUUNNITELMA'!F24</f>
        <v>0</v>
      </c>
      <c r="F11" s="151">
        <f>'1 INVESTOINTISUUNNITELMA'!G24</f>
        <v>0</v>
      </c>
      <c r="G11" s="151">
        <f>'1 INVESTOINTISUUNNITELMA'!H24</f>
        <v>0</v>
      </c>
      <c r="H11" s="245">
        <f t="shared" si="0"/>
        <v>0</v>
      </c>
    </row>
    <row r="12" spans="3:8" x14ac:dyDescent="0.35">
      <c r="C12" s="198" t="s">
        <v>725</v>
      </c>
      <c r="D12" s="151">
        <f>'1 INVESTOINTISUUNNITELMA'!E27</f>
        <v>0</v>
      </c>
      <c r="E12" s="151">
        <f>'1 INVESTOINTISUUNNITELMA'!F27</f>
        <v>0</v>
      </c>
      <c r="F12" s="151">
        <f>'1 INVESTOINTISUUNNITELMA'!G27</f>
        <v>0</v>
      </c>
      <c r="G12" s="151">
        <f>'1 INVESTOINTISUUNNITELMA'!H27</f>
        <v>0</v>
      </c>
      <c r="H12" s="245">
        <f t="shared" si="0"/>
        <v>0</v>
      </c>
    </row>
    <row r="13" spans="3:8" x14ac:dyDescent="0.35">
      <c r="C13" s="198" t="s">
        <v>726</v>
      </c>
      <c r="D13" s="151">
        <f>'1 INVESTOINTISUUNNITELMA'!E30</f>
        <v>0</v>
      </c>
      <c r="E13" s="151">
        <f>'1 INVESTOINTISUUNNITELMA'!F30</f>
        <v>0</v>
      </c>
      <c r="F13" s="151">
        <f>'1 INVESTOINTISUUNNITELMA'!G30</f>
        <v>0</v>
      </c>
      <c r="G13" s="151">
        <f>'1 INVESTOINTISUUNNITELMA'!H30</f>
        <v>0</v>
      </c>
      <c r="H13" s="245">
        <f t="shared" si="0"/>
        <v>0</v>
      </c>
    </row>
    <row r="14" spans="3:8" x14ac:dyDescent="0.35">
      <c r="C14" s="198" t="s">
        <v>727</v>
      </c>
      <c r="D14" s="151">
        <f>'1 INVESTOINTISUUNNITELMA'!E32</f>
        <v>0</v>
      </c>
      <c r="E14" s="151">
        <f>'1 INVESTOINTISUUNNITELMA'!F32</f>
        <v>0</v>
      </c>
      <c r="F14" s="151">
        <f>'1 INVESTOINTISUUNNITELMA'!G32</f>
        <v>0</v>
      </c>
      <c r="G14" s="151">
        <f>'1 INVESTOINTISUUNNITELMA'!H32</f>
        <v>0</v>
      </c>
      <c r="H14" s="245">
        <f t="shared" si="0"/>
        <v>0</v>
      </c>
    </row>
    <row r="15" spans="3:8" ht="15" thickBot="1" x14ac:dyDescent="0.4">
      <c r="C15" s="231" t="s">
        <v>728</v>
      </c>
      <c r="D15" s="153">
        <f>'1 INVESTOINTISUUNNITELMA'!E35</f>
        <v>0</v>
      </c>
      <c r="E15" s="153">
        <f>'1 INVESTOINTISUUNNITELMA'!F35</f>
        <v>0</v>
      </c>
      <c r="F15" s="153">
        <f>'1 INVESTOINTISUUNNITELMA'!G35</f>
        <v>0</v>
      </c>
      <c r="G15" s="153">
        <f>'1 INVESTOINTISUUNNITELMA'!H35</f>
        <v>0</v>
      </c>
      <c r="H15" s="534">
        <f t="shared" si="0"/>
        <v>0</v>
      </c>
    </row>
    <row r="16" spans="3:8" ht="15" thickTop="1" x14ac:dyDescent="0.35">
      <c r="C16" s="544" t="s">
        <v>732</v>
      </c>
      <c r="D16" s="545">
        <f>SUM(D9:D15)</f>
        <v>0</v>
      </c>
      <c r="E16" s="545">
        <f t="shared" ref="E16" si="1">SUM(E9:E15)</f>
        <v>0</v>
      </c>
      <c r="F16" s="545">
        <f t="shared" ref="F16" si="2">SUM(F9:F15)</f>
        <v>0</v>
      </c>
      <c r="G16" s="545">
        <f t="shared" ref="G16" si="3">SUM(G9:G15)</f>
        <v>0</v>
      </c>
      <c r="H16" s="546">
        <f t="shared" ref="H16" si="4">SUM(H9:H15)</f>
        <v>0</v>
      </c>
    </row>
    <row r="17" spans="3:8" x14ac:dyDescent="0.35">
      <c r="C17" s="200"/>
      <c r="D17" s="146"/>
      <c r="E17" s="146"/>
      <c r="F17" s="146"/>
      <c r="G17" s="146"/>
      <c r="H17" s="201"/>
    </row>
    <row r="18" spans="3:8" x14ac:dyDescent="0.35">
      <c r="C18" s="174"/>
      <c r="D18" s="354" t="str">
        <f>'1 INVESTOINTISUUNNITELMA'!E15</f>
        <v>Ennuste 1</v>
      </c>
      <c r="E18" s="354" t="str">
        <f>'1 INVESTOINTISUUNNITELMA'!F15</f>
        <v>Ennuste 2</v>
      </c>
      <c r="F18" s="354" t="str">
        <f>'1 INVESTOINTISUUNNITELMA'!G15</f>
        <v>Ennuste 3</v>
      </c>
      <c r="G18" s="354" t="str">
        <f>'1 INVESTOINTISUUNNITELMA'!H15</f>
        <v>Ennuste 4</v>
      </c>
      <c r="H18" s="193"/>
    </row>
    <row r="19" spans="3:8" x14ac:dyDescent="0.35">
      <c r="C19" s="543" t="s">
        <v>729</v>
      </c>
      <c r="D19" s="157">
        <f>'1 INVESTOINTISUUNNITELMA'!E16</f>
        <v>2026</v>
      </c>
      <c r="E19" s="157">
        <f>'1 INVESTOINTISUUNNITELMA'!F16</f>
        <v>2027</v>
      </c>
      <c r="F19" s="157">
        <f>'1 INVESTOINTISUUNNITELMA'!G16</f>
        <v>2028</v>
      </c>
      <c r="G19" s="157">
        <f>'1 INVESTOINTISUUNNITELMA'!H16</f>
        <v>2029</v>
      </c>
      <c r="H19" s="339" t="s">
        <v>83</v>
      </c>
    </row>
    <row r="20" spans="3:8" x14ac:dyDescent="0.35">
      <c r="C20" s="198" t="s">
        <v>722</v>
      </c>
      <c r="D20" s="151"/>
      <c r="E20" s="151"/>
      <c r="F20" s="151"/>
      <c r="G20" s="151"/>
      <c r="H20" s="245">
        <f>SUM(D20:G20)</f>
        <v>0</v>
      </c>
    </row>
    <row r="21" spans="3:8" x14ac:dyDescent="0.35">
      <c r="C21" s="198" t="s">
        <v>723</v>
      </c>
      <c r="D21" s="151"/>
      <c r="E21" s="151"/>
      <c r="F21" s="151"/>
      <c r="G21" s="151"/>
      <c r="H21" s="245">
        <f t="shared" ref="H21:H26" si="5">SUM(D21:G21)</f>
        <v>0</v>
      </c>
    </row>
    <row r="22" spans="3:8" x14ac:dyDescent="0.35">
      <c r="C22" s="198" t="s">
        <v>724</v>
      </c>
      <c r="D22" s="151"/>
      <c r="E22" s="151"/>
      <c r="F22" s="151"/>
      <c r="G22" s="151"/>
      <c r="H22" s="245">
        <f t="shared" si="5"/>
        <v>0</v>
      </c>
    </row>
    <row r="23" spans="3:8" x14ac:dyDescent="0.35">
      <c r="C23" s="198" t="s">
        <v>725</v>
      </c>
      <c r="D23" s="151">
        <f>'1 INVESTOINTISUUNNITELMA'!E58</f>
        <v>0</v>
      </c>
      <c r="E23" s="151">
        <f>'1 INVESTOINTISUUNNITELMA'!F58</f>
        <v>0</v>
      </c>
      <c r="F23" s="151">
        <f>'1 INVESTOINTISUUNNITELMA'!G58</f>
        <v>0</v>
      </c>
      <c r="G23" s="151">
        <f>'1 INVESTOINTISUUNNITELMA'!H58</f>
        <v>0</v>
      </c>
      <c r="H23" s="245">
        <f t="shared" si="5"/>
        <v>0</v>
      </c>
    </row>
    <row r="24" spans="3:8" x14ac:dyDescent="0.35">
      <c r="C24" s="198" t="s">
        <v>726</v>
      </c>
      <c r="D24" s="151">
        <f>'1 INVESTOINTISUUNNITELMA'!E59</f>
        <v>0</v>
      </c>
      <c r="E24" s="151">
        <f>'1 INVESTOINTISUUNNITELMA'!F59</f>
        <v>0</v>
      </c>
      <c r="F24" s="151">
        <f>'1 INVESTOINTISUUNNITELMA'!G59</f>
        <v>0</v>
      </c>
      <c r="G24" s="151">
        <f>'1 INVESTOINTISUUNNITELMA'!H59</f>
        <v>0</v>
      </c>
      <c r="H24" s="245">
        <f t="shared" si="5"/>
        <v>0</v>
      </c>
    </row>
    <row r="25" spans="3:8" x14ac:dyDescent="0.35">
      <c r="C25" s="198" t="s">
        <v>727</v>
      </c>
      <c r="D25" s="151"/>
      <c r="E25" s="151"/>
      <c r="F25" s="151"/>
      <c r="G25" s="151"/>
      <c r="H25" s="245">
        <f t="shared" si="5"/>
        <v>0</v>
      </c>
    </row>
    <row r="26" spans="3:8" ht="15" thickBot="1" x14ac:dyDescent="0.4">
      <c r="C26" s="231" t="s">
        <v>728</v>
      </c>
      <c r="D26" s="153"/>
      <c r="E26" s="153"/>
      <c r="F26" s="153"/>
      <c r="G26" s="153"/>
      <c r="H26" s="534">
        <f t="shared" si="5"/>
        <v>0</v>
      </c>
    </row>
    <row r="27" spans="3:8" ht="15" thickTop="1" x14ac:dyDescent="0.35">
      <c r="C27" s="544" t="s">
        <v>731</v>
      </c>
      <c r="D27" s="545">
        <f>SUM(D20:D26)</f>
        <v>0</v>
      </c>
      <c r="E27" s="545">
        <f t="shared" ref="E27:G27" si="6">SUM(E20:E26)</f>
        <v>0</v>
      </c>
      <c r="F27" s="545">
        <f t="shared" si="6"/>
        <v>0</v>
      </c>
      <c r="G27" s="545">
        <f t="shared" si="6"/>
        <v>0</v>
      </c>
      <c r="H27" s="546">
        <f t="shared" ref="H27" si="7">SUM(H20:H26)</f>
        <v>0</v>
      </c>
    </row>
    <row r="28" spans="3:8" x14ac:dyDescent="0.35">
      <c r="C28" s="200"/>
      <c r="D28" s="146"/>
      <c r="E28" s="146"/>
      <c r="F28" s="146"/>
      <c r="G28" s="146"/>
      <c r="H28" s="201"/>
    </row>
    <row r="29" spans="3:8" x14ac:dyDescent="0.35">
      <c r="C29" s="174"/>
      <c r="D29" s="354" t="str">
        <f>'1 INVESTOINTISUUNNITELMA'!E15</f>
        <v>Ennuste 1</v>
      </c>
      <c r="E29" s="354" t="str">
        <f>'1 INVESTOINTISUUNNITELMA'!F15</f>
        <v>Ennuste 2</v>
      </c>
      <c r="F29" s="354" t="str">
        <f>'1 INVESTOINTISUUNNITELMA'!G15</f>
        <v>Ennuste 3</v>
      </c>
      <c r="G29" s="354" t="str">
        <f>'1 INVESTOINTISUUNNITELMA'!H15</f>
        <v>Ennuste 4</v>
      </c>
      <c r="H29" s="193"/>
    </row>
    <row r="30" spans="3:8" x14ac:dyDescent="0.35">
      <c r="C30" s="543" t="s">
        <v>730</v>
      </c>
      <c r="D30" s="157">
        <f>'1 INVESTOINTISUUNNITELMA'!E16</f>
        <v>2026</v>
      </c>
      <c r="E30" s="157">
        <f>'1 INVESTOINTISUUNNITELMA'!F16</f>
        <v>2027</v>
      </c>
      <c r="F30" s="157">
        <f>'1 INVESTOINTISUUNNITELMA'!G16</f>
        <v>2028</v>
      </c>
      <c r="G30" s="157">
        <f>'1 INVESTOINTISUUNNITELMA'!H16</f>
        <v>2029</v>
      </c>
      <c r="H30" s="339" t="s">
        <v>83</v>
      </c>
    </row>
    <row r="31" spans="3:8" x14ac:dyDescent="0.35">
      <c r="C31" s="198" t="s">
        <v>722</v>
      </c>
      <c r="D31" s="151">
        <f>D9-D20</f>
        <v>0</v>
      </c>
      <c r="E31" s="151">
        <f t="shared" ref="E31:G31" si="8">E9-E20</f>
        <v>0</v>
      </c>
      <c r="F31" s="151">
        <f t="shared" si="8"/>
        <v>0</v>
      </c>
      <c r="G31" s="151">
        <f t="shared" si="8"/>
        <v>0</v>
      </c>
      <c r="H31" s="245">
        <f>SUM(D31:G31)</f>
        <v>0</v>
      </c>
    </row>
    <row r="32" spans="3:8" x14ac:dyDescent="0.35">
      <c r="C32" s="198" t="s">
        <v>723</v>
      </c>
      <c r="D32" s="151">
        <f t="shared" ref="D32:G37" si="9">D10-D21</f>
        <v>0</v>
      </c>
      <c r="E32" s="151">
        <f t="shared" si="9"/>
        <v>0</v>
      </c>
      <c r="F32" s="151">
        <f t="shared" si="9"/>
        <v>0</v>
      </c>
      <c r="G32" s="151">
        <f t="shared" si="9"/>
        <v>0</v>
      </c>
      <c r="H32" s="245">
        <f t="shared" ref="H32:H37" si="10">SUM(D32:G32)</f>
        <v>0</v>
      </c>
    </row>
    <row r="33" spans="3:8" x14ac:dyDescent="0.35">
      <c r="C33" s="198" t="s">
        <v>724</v>
      </c>
      <c r="D33" s="151">
        <f t="shared" si="9"/>
        <v>0</v>
      </c>
      <c r="E33" s="151">
        <f t="shared" si="9"/>
        <v>0</v>
      </c>
      <c r="F33" s="151">
        <f t="shared" si="9"/>
        <v>0</v>
      </c>
      <c r="G33" s="151">
        <f t="shared" si="9"/>
        <v>0</v>
      </c>
      <c r="H33" s="245">
        <f t="shared" si="10"/>
        <v>0</v>
      </c>
    </row>
    <row r="34" spans="3:8" x14ac:dyDescent="0.35">
      <c r="C34" s="198" t="s">
        <v>725</v>
      </c>
      <c r="D34" s="151">
        <f t="shared" si="9"/>
        <v>0</v>
      </c>
      <c r="E34" s="151">
        <f t="shared" si="9"/>
        <v>0</v>
      </c>
      <c r="F34" s="151">
        <f t="shared" si="9"/>
        <v>0</v>
      </c>
      <c r="G34" s="151">
        <f t="shared" si="9"/>
        <v>0</v>
      </c>
      <c r="H34" s="245">
        <f t="shared" si="10"/>
        <v>0</v>
      </c>
    </row>
    <row r="35" spans="3:8" x14ac:dyDescent="0.35">
      <c r="C35" s="198" t="s">
        <v>726</v>
      </c>
      <c r="D35" s="151">
        <f t="shared" si="9"/>
        <v>0</v>
      </c>
      <c r="E35" s="151">
        <f t="shared" si="9"/>
        <v>0</v>
      </c>
      <c r="F35" s="151">
        <f t="shared" si="9"/>
        <v>0</v>
      </c>
      <c r="G35" s="151">
        <f t="shared" si="9"/>
        <v>0</v>
      </c>
      <c r="H35" s="245">
        <f t="shared" si="10"/>
        <v>0</v>
      </c>
    </row>
    <row r="36" spans="3:8" x14ac:dyDescent="0.35">
      <c r="C36" s="198" t="s">
        <v>727</v>
      </c>
      <c r="D36" s="151">
        <f t="shared" si="9"/>
        <v>0</v>
      </c>
      <c r="E36" s="151">
        <f t="shared" si="9"/>
        <v>0</v>
      </c>
      <c r="F36" s="151">
        <f t="shared" si="9"/>
        <v>0</v>
      </c>
      <c r="G36" s="151">
        <f t="shared" si="9"/>
        <v>0</v>
      </c>
      <c r="H36" s="245">
        <f t="shared" si="10"/>
        <v>0</v>
      </c>
    </row>
    <row r="37" spans="3:8" ht="15" thickBot="1" x14ac:dyDescent="0.4">
      <c r="C37" s="231" t="s">
        <v>728</v>
      </c>
      <c r="D37" s="153">
        <f t="shared" si="9"/>
        <v>0</v>
      </c>
      <c r="E37" s="153">
        <f t="shared" si="9"/>
        <v>0</v>
      </c>
      <c r="F37" s="153">
        <f t="shared" si="9"/>
        <v>0</v>
      </c>
      <c r="G37" s="153">
        <f t="shared" si="9"/>
        <v>0</v>
      </c>
      <c r="H37" s="534">
        <f t="shared" si="10"/>
        <v>0</v>
      </c>
    </row>
    <row r="38" spans="3:8" ht="15" thickTop="1" x14ac:dyDescent="0.35">
      <c r="C38" s="544" t="s">
        <v>733</v>
      </c>
      <c r="D38" s="545">
        <f>SUM(D31:D37)</f>
        <v>0</v>
      </c>
      <c r="E38" s="545">
        <f t="shared" ref="E38:H38" si="11">SUM(E31:E37)</f>
        <v>0</v>
      </c>
      <c r="F38" s="545">
        <f t="shared" si="11"/>
        <v>0</v>
      </c>
      <c r="G38" s="545">
        <f t="shared" si="11"/>
        <v>0</v>
      </c>
      <c r="H38" s="546">
        <f t="shared" si="11"/>
        <v>0</v>
      </c>
    </row>
    <row r="39" spans="3:8" x14ac:dyDescent="0.35">
      <c r="C39" s="200"/>
      <c r="D39" s="146"/>
      <c r="E39" s="146"/>
      <c r="F39" s="146"/>
      <c r="G39" s="146"/>
      <c r="H39" s="201"/>
    </row>
    <row r="40" spans="3:8" x14ac:dyDescent="0.35">
      <c r="C40" s="174"/>
      <c r="D40" s="354" t="str">
        <f>'1 INVESTOINTISUUNNITELMA'!E15</f>
        <v>Ennuste 1</v>
      </c>
      <c r="E40" s="354" t="str">
        <f>'1 INVESTOINTISUUNNITELMA'!F15</f>
        <v>Ennuste 2</v>
      </c>
      <c r="F40" s="354" t="str">
        <f>'1 INVESTOINTISUUNNITELMA'!G15</f>
        <v>Ennuste 3</v>
      </c>
      <c r="G40" s="354" t="str">
        <f>'1 INVESTOINTISUUNNITELMA'!H15</f>
        <v>Ennuste 4</v>
      </c>
      <c r="H40" s="193"/>
    </row>
    <row r="41" spans="3:8" x14ac:dyDescent="0.35">
      <c r="C41" s="543" t="s">
        <v>734</v>
      </c>
      <c r="D41" s="157">
        <f>'1 INVESTOINTISUUNNITELMA'!E16</f>
        <v>2026</v>
      </c>
      <c r="E41" s="157">
        <f>'1 INVESTOINTISUUNNITELMA'!F16</f>
        <v>2027</v>
      </c>
      <c r="F41" s="157">
        <f>'1 INVESTOINTISUUNNITELMA'!G16</f>
        <v>2028</v>
      </c>
      <c r="G41" s="157">
        <f>'1 INVESTOINTISUUNNITELMA'!H16</f>
        <v>2029</v>
      </c>
      <c r="H41" s="339" t="s">
        <v>83</v>
      </c>
    </row>
    <row r="42" spans="3:8" x14ac:dyDescent="0.35">
      <c r="C42" s="198" t="s">
        <v>722</v>
      </c>
      <c r="D42" s="151"/>
      <c r="E42" s="151"/>
      <c r="F42" s="151"/>
      <c r="G42" s="151"/>
      <c r="H42" s="245">
        <f>SUM(D42:G42)</f>
        <v>0</v>
      </c>
    </row>
    <row r="43" spans="3:8" x14ac:dyDescent="0.35">
      <c r="C43" s="198" t="s">
        <v>723</v>
      </c>
      <c r="D43" s="151">
        <f>'1 INVESTOINTISUUNNITELMA'!E20*('1 INVESTOINTISUUNNITELMA'!E22/(1+'1 INVESTOINTISUUNNITELMA'!E22))</f>
        <v>0</v>
      </c>
      <c r="E43" s="151">
        <f>'1 INVESTOINTISUUNNITELMA'!F20*('1 INVESTOINTISUUNNITELMA'!F22/(1+'1 INVESTOINTISUUNNITELMA'!F22))</f>
        <v>0</v>
      </c>
      <c r="F43" s="151">
        <f>'1 INVESTOINTISUUNNITELMA'!G20*('1 INVESTOINTISUUNNITELMA'!G22/(1+'1 INVESTOINTISUUNNITELMA'!G22))</f>
        <v>0</v>
      </c>
      <c r="G43" s="151">
        <f>'1 INVESTOINTISUUNNITELMA'!H20*('1 INVESTOINTISUUNNITELMA'!H22/(1+'1 INVESTOINTISUUNNITELMA'!H22))</f>
        <v>0</v>
      </c>
      <c r="H43" s="245">
        <f t="shared" ref="H43:H48" si="12">SUM(D43:G43)</f>
        <v>0</v>
      </c>
    </row>
    <row r="44" spans="3:8" x14ac:dyDescent="0.35">
      <c r="C44" s="198" t="s">
        <v>724</v>
      </c>
      <c r="D44" s="151"/>
      <c r="E44" s="151"/>
      <c r="F44" s="151"/>
      <c r="G44" s="151"/>
      <c r="H44" s="245">
        <f t="shared" si="12"/>
        <v>0</v>
      </c>
    </row>
    <row r="45" spans="3:8" x14ac:dyDescent="0.35">
      <c r="C45" s="198" t="s">
        <v>725</v>
      </c>
      <c r="D45" s="151">
        <f>('1 INVESTOINTISUUNNITELMA'!E27-'1 INVESTOINTISUUNNITELMA'!E58)*'1 INVESTOINTISUUNNITELMA'!E28/(1+'1 INVESTOINTISUUNNITELMA'!E28)</f>
        <v>0</v>
      </c>
      <c r="E45" s="151">
        <f>('1 INVESTOINTISUUNNITELMA'!F27-'1 INVESTOINTISUUNNITELMA'!F58)*'1 INVESTOINTISUUNNITELMA'!F28/(1+'1 INVESTOINTISUUNNITELMA'!F28)</f>
        <v>0</v>
      </c>
      <c r="F45" s="151">
        <f>('1 INVESTOINTISUUNNITELMA'!G27-'1 INVESTOINTISUUNNITELMA'!G58)*'1 INVESTOINTISUUNNITELMA'!G28/(1+'1 INVESTOINTISUUNNITELMA'!G28)</f>
        <v>0</v>
      </c>
      <c r="G45" s="151">
        <f>('1 INVESTOINTISUUNNITELMA'!H27-'1 INVESTOINTISUUNNITELMA'!H58)*'1 INVESTOINTISUUNNITELMA'!H28/(1+'1 INVESTOINTISUUNNITELMA'!H28)</f>
        <v>0</v>
      </c>
      <c r="H45" s="245">
        <f t="shared" si="12"/>
        <v>0</v>
      </c>
    </row>
    <row r="46" spans="3:8" x14ac:dyDescent="0.35">
      <c r="C46" s="198" t="s">
        <v>726</v>
      </c>
      <c r="D46" s="151"/>
      <c r="E46" s="151"/>
      <c r="F46" s="151"/>
      <c r="G46" s="151"/>
      <c r="H46" s="245">
        <f t="shared" si="12"/>
        <v>0</v>
      </c>
    </row>
    <row r="47" spans="3:8" x14ac:dyDescent="0.35">
      <c r="C47" s="198" t="s">
        <v>727</v>
      </c>
      <c r="D47" s="151">
        <f>'1 INVESTOINTISUUNNITELMA'!E32*'1 INVESTOINTISUUNNITELMA'!E33/(1+'1 INVESTOINTISUUNNITELMA'!E33)</f>
        <v>0</v>
      </c>
      <c r="E47" s="151">
        <f>'1 INVESTOINTISUUNNITELMA'!F32*'1 INVESTOINTISUUNNITELMA'!F33/(1+'1 INVESTOINTISUUNNITELMA'!F33)</f>
        <v>0</v>
      </c>
      <c r="F47" s="151">
        <f>'1 INVESTOINTISUUNNITELMA'!G32*'1 INVESTOINTISUUNNITELMA'!G33/(1+'1 INVESTOINTISUUNNITELMA'!G33)</f>
        <v>0</v>
      </c>
      <c r="G47" s="151">
        <f>'1 INVESTOINTISUUNNITELMA'!H32*'1 INVESTOINTISUUNNITELMA'!H33/(1+'1 INVESTOINTISUUNNITELMA'!H33)</f>
        <v>0</v>
      </c>
      <c r="H47" s="245">
        <f t="shared" si="12"/>
        <v>0</v>
      </c>
    </row>
    <row r="48" spans="3:8" ht="15" thickBot="1" x14ac:dyDescent="0.4">
      <c r="C48" s="231" t="s">
        <v>728</v>
      </c>
      <c r="D48" s="153">
        <f>'1 INVESTOINTISUUNNITELMA'!E35*'1 INVESTOINTISUUNNITELMA'!E36/(1+'1 INVESTOINTISUUNNITELMA'!E36)</f>
        <v>0</v>
      </c>
      <c r="E48" s="153">
        <f>'1 INVESTOINTISUUNNITELMA'!F35*'1 INVESTOINTISUUNNITELMA'!F36/(1+'1 INVESTOINTISUUNNITELMA'!F36)</f>
        <v>0</v>
      </c>
      <c r="F48" s="153">
        <f>'1 INVESTOINTISUUNNITELMA'!G35*'1 INVESTOINTISUUNNITELMA'!G36/(1+'1 INVESTOINTISUUNNITELMA'!G36)</f>
        <v>0</v>
      </c>
      <c r="G48" s="153">
        <f>'1 INVESTOINTISUUNNITELMA'!H35*'1 INVESTOINTISUUNNITELMA'!H36/(1+'1 INVESTOINTISUUNNITELMA'!H36)</f>
        <v>0</v>
      </c>
      <c r="H48" s="534">
        <f t="shared" si="12"/>
        <v>0</v>
      </c>
    </row>
    <row r="49" spans="3:8" ht="15" thickTop="1" x14ac:dyDescent="0.35">
      <c r="C49" s="544" t="s">
        <v>677</v>
      </c>
      <c r="D49" s="545">
        <f>SUM(D42:D48)</f>
        <v>0</v>
      </c>
      <c r="E49" s="545">
        <f t="shared" ref="E49" si="13">SUM(E42:E48)</f>
        <v>0</v>
      </c>
      <c r="F49" s="545">
        <f t="shared" ref="F49" si="14">SUM(F42:F48)</f>
        <v>0</v>
      </c>
      <c r="G49" s="545">
        <f t="shared" ref="G49" si="15">SUM(G42:G48)</f>
        <v>0</v>
      </c>
      <c r="H49" s="546">
        <f t="shared" ref="H49" si="16">SUM(H42:H48)</f>
        <v>0</v>
      </c>
    </row>
    <row r="50" spans="3:8" x14ac:dyDescent="0.35">
      <c r="C50" s="200"/>
      <c r="D50" s="146"/>
      <c r="E50" s="146"/>
      <c r="F50" s="146"/>
      <c r="G50" s="146"/>
      <c r="H50" s="201"/>
    </row>
    <row r="51" spans="3:8" x14ac:dyDescent="0.35">
      <c r="C51" s="174"/>
      <c r="D51" s="354" t="str">
        <f>'1 INVESTOINTISUUNNITELMA'!E15</f>
        <v>Ennuste 1</v>
      </c>
      <c r="E51" s="354" t="str">
        <f>'1 INVESTOINTISUUNNITELMA'!F15</f>
        <v>Ennuste 2</v>
      </c>
      <c r="F51" s="354" t="str">
        <f>'1 INVESTOINTISUUNNITELMA'!G15</f>
        <v>Ennuste 3</v>
      </c>
      <c r="G51" s="354" t="str">
        <f>'1 INVESTOINTISUUNNITELMA'!H15</f>
        <v>Ennuste 4</v>
      </c>
      <c r="H51" s="193"/>
    </row>
    <row r="52" spans="3:8" x14ac:dyDescent="0.35">
      <c r="C52" s="543" t="s">
        <v>735</v>
      </c>
      <c r="D52" s="157">
        <f>'1 INVESTOINTISUUNNITELMA'!E16</f>
        <v>2026</v>
      </c>
      <c r="E52" s="157">
        <f>'1 INVESTOINTISUUNNITELMA'!F16</f>
        <v>2027</v>
      </c>
      <c r="F52" s="157">
        <f>'1 INVESTOINTISUUNNITELMA'!G16</f>
        <v>2028</v>
      </c>
      <c r="G52" s="157">
        <f>'1 INVESTOINTISUUNNITELMA'!H16</f>
        <v>2029</v>
      </c>
      <c r="H52" s="339" t="s">
        <v>83</v>
      </c>
    </row>
    <row r="53" spans="3:8" x14ac:dyDescent="0.35">
      <c r="C53" s="198" t="s">
        <v>722</v>
      </c>
      <c r="D53" s="151">
        <f>D31-D42</f>
        <v>0</v>
      </c>
      <c r="E53" s="151">
        <f t="shared" ref="E53:G53" si="17">E31-E42</f>
        <v>0</v>
      </c>
      <c r="F53" s="151">
        <f t="shared" si="17"/>
        <v>0</v>
      </c>
      <c r="G53" s="151">
        <f t="shared" si="17"/>
        <v>0</v>
      </c>
      <c r="H53" s="245">
        <f>SUM(D53:G53)</f>
        <v>0</v>
      </c>
    </row>
    <row r="54" spans="3:8" x14ac:dyDescent="0.35">
      <c r="C54" s="198" t="s">
        <v>723</v>
      </c>
      <c r="D54" s="151">
        <f>D32-D43</f>
        <v>0</v>
      </c>
      <c r="E54" s="151">
        <f t="shared" ref="E54:G54" si="18">E32-E43</f>
        <v>0</v>
      </c>
      <c r="F54" s="151">
        <f t="shared" si="18"/>
        <v>0</v>
      </c>
      <c r="G54" s="151">
        <f t="shared" si="18"/>
        <v>0</v>
      </c>
      <c r="H54" s="245">
        <f t="shared" ref="H54:H59" si="19">SUM(D54:G54)</f>
        <v>0</v>
      </c>
    </row>
    <row r="55" spans="3:8" x14ac:dyDescent="0.35">
      <c r="C55" s="198" t="s">
        <v>724</v>
      </c>
      <c r="D55" s="151">
        <f t="shared" ref="D55:G59" si="20">D33-D44</f>
        <v>0</v>
      </c>
      <c r="E55" s="151">
        <f t="shared" si="20"/>
        <v>0</v>
      </c>
      <c r="F55" s="151">
        <f t="shared" si="20"/>
        <v>0</v>
      </c>
      <c r="G55" s="151">
        <f t="shared" si="20"/>
        <v>0</v>
      </c>
      <c r="H55" s="245">
        <f t="shared" si="19"/>
        <v>0</v>
      </c>
    </row>
    <row r="56" spans="3:8" x14ac:dyDescent="0.35">
      <c r="C56" s="198" t="s">
        <v>725</v>
      </c>
      <c r="D56" s="151">
        <f t="shared" si="20"/>
        <v>0</v>
      </c>
      <c r="E56" s="151">
        <f t="shared" si="20"/>
        <v>0</v>
      </c>
      <c r="F56" s="151">
        <f t="shared" si="20"/>
        <v>0</v>
      </c>
      <c r="G56" s="151">
        <f t="shared" si="20"/>
        <v>0</v>
      </c>
      <c r="H56" s="245">
        <f t="shared" si="19"/>
        <v>0</v>
      </c>
    </row>
    <row r="57" spans="3:8" x14ac:dyDescent="0.35">
      <c r="C57" s="198" t="s">
        <v>726</v>
      </c>
      <c r="D57" s="151">
        <f t="shared" si="20"/>
        <v>0</v>
      </c>
      <c r="E57" s="151">
        <f t="shared" si="20"/>
        <v>0</v>
      </c>
      <c r="F57" s="151">
        <f t="shared" si="20"/>
        <v>0</v>
      </c>
      <c r="G57" s="151">
        <f t="shared" si="20"/>
        <v>0</v>
      </c>
      <c r="H57" s="245">
        <f t="shared" si="19"/>
        <v>0</v>
      </c>
    </row>
    <row r="58" spans="3:8" x14ac:dyDescent="0.35">
      <c r="C58" s="198" t="s">
        <v>727</v>
      </c>
      <c r="D58" s="151">
        <f t="shared" si="20"/>
        <v>0</v>
      </c>
      <c r="E58" s="151">
        <f t="shared" si="20"/>
        <v>0</v>
      </c>
      <c r="F58" s="151">
        <f t="shared" si="20"/>
        <v>0</v>
      </c>
      <c r="G58" s="151">
        <f t="shared" si="20"/>
        <v>0</v>
      </c>
      <c r="H58" s="245">
        <f t="shared" si="19"/>
        <v>0</v>
      </c>
    </row>
    <row r="59" spans="3:8" ht="15" thickBot="1" x14ac:dyDescent="0.4">
      <c r="C59" s="231" t="s">
        <v>728</v>
      </c>
      <c r="D59" s="153">
        <f t="shared" si="20"/>
        <v>0</v>
      </c>
      <c r="E59" s="153">
        <f t="shared" si="20"/>
        <v>0</v>
      </c>
      <c r="F59" s="153">
        <f t="shared" si="20"/>
        <v>0</v>
      </c>
      <c r="G59" s="153">
        <f t="shared" si="20"/>
        <v>0</v>
      </c>
      <c r="H59" s="534">
        <f t="shared" si="19"/>
        <v>0</v>
      </c>
    </row>
    <row r="60" spans="3:8" ht="15" thickTop="1" x14ac:dyDescent="0.35">
      <c r="C60" s="544" t="s">
        <v>736</v>
      </c>
      <c r="D60" s="545">
        <f>SUM(D53:D59)</f>
        <v>0</v>
      </c>
      <c r="E60" s="545">
        <f t="shared" ref="E60:H60" si="21">SUM(E53:E59)</f>
        <v>0</v>
      </c>
      <c r="F60" s="545">
        <f t="shared" si="21"/>
        <v>0</v>
      </c>
      <c r="G60" s="545">
        <f t="shared" si="21"/>
        <v>0</v>
      </c>
      <c r="H60" s="546">
        <f t="shared" si="21"/>
        <v>0</v>
      </c>
    </row>
    <row r="61" spans="3:8" x14ac:dyDescent="0.35">
      <c r="C61" s="200"/>
      <c r="D61" s="146"/>
      <c r="E61" s="146"/>
      <c r="F61" s="146"/>
      <c r="G61" s="146"/>
      <c r="H61" s="201"/>
    </row>
    <row r="62" spans="3:8" x14ac:dyDescent="0.35">
      <c r="C62" s="174"/>
      <c r="D62" s="365" t="str">
        <f>'1 INVESTOINTISUUNNITELMA'!E15</f>
        <v>Ennuste 1</v>
      </c>
      <c r="E62" s="365" t="str">
        <f>'1 INVESTOINTISUUNNITELMA'!F15</f>
        <v>Ennuste 2</v>
      </c>
      <c r="F62" s="365" t="str">
        <f>'1 INVESTOINTISUUNNITELMA'!G15</f>
        <v>Ennuste 3</v>
      </c>
      <c r="G62" s="365" t="str">
        <f>'1 INVESTOINTISUUNNITELMA'!H15</f>
        <v>Ennuste 4</v>
      </c>
      <c r="H62" s="193"/>
    </row>
    <row r="63" spans="3:8" x14ac:dyDescent="0.35">
      <c r="C63" s="543" t="s">
        <v>737</v>
      </c>
      <c r="D63" s="157">
        <f>'1 INVESTOINTISUUNNITELMA'!E16</f>
        <v>2026</v>
      </c>
      <c r="E63" s="157">
        <f>'1 INVESTOINTISUUNNITELMA'!F16</f>
        <v>2027</v>
      </c>
      <c r="F63" s="157">
        <f>'1 INVESTOINTISUUNNITELMA'!G16</f>
        <v>2028</v>
      </c>
      <c r="G63" s="157">
        <f>'1 INVESTOINTISUUNNITELMA'!H16</f>
        <v>2029</v>
      </c>
      <c r="H63" s="339" t="s">
        <v>83</v>
      </c>
    </row>
    <row r="64" spans="3:8" x14ac:dyDescent="0.35">
      <c r="C64" s="198" t="s">
        <v>722</v>
      </c>
      <c r="D64" s="151">
        <f>'1 INVESTOINTISUUNNITELMA'!E17*'1 INVESTOINTISUUNNITELMA'!E19</f>
        <v>0</v>
      </c>
      <c r="E64" s="151">
        <f>'1 INVESTOINTISUUNNITELMA'!F17*'1 INVESTOINTISUUNNITELMA'!F19</f>
        <v>0</v>
      </c>
      <c r="F64" s="151">
        <f>'1 INVESTOINTISUUNNITELMA'!G17*'1 INVESTOINTISUUNNITELMA'!G19</f>
        <v>0</v>
      </c>
      <c r="G64" s="151">
        <f>'1 INVESTOINTISUUNNITELMA'!H17*'1 INVESTOINTISUUNNITELMA'!H19</f>
        <v>0</v>
      </c>
      <c r="H64" s="245">
        <f>SUM(D64:G64)</f>
        <v>0</v>
      </c>
    </row>
    <row r="65" spans="3:8" x14ac:dyDescent="0.35">
      <c r="C65" s="198" t="s">
        <v>723</v>
      </c>
      <c r="D65" s="151">
        <f>'1 INVESTOINTISUUNNITELMA'!E20/(1+'1 INVESTOINTISUUNNITELMA'!E22)*'1 INVESTOINTISUUNNITELMA'!E23</f>
        <v>0</v>
      </c>
      <c r="E65" s="151">
        <f>'1 INVESTOINTISUUNNITELMA'!F20/(1+'1 INVESTOINTISUUNNITELMA'!F22)*'1 INVESTOINTISUUNNITELMA'!F23</f>
        <v>0</v>
      </c>
      <c r="F65" s="151">
        <f>'1 INVESTOINTISUUNNITELMA'!G20/(1+'1 INVESTOINTISUUNNITELMA'!G22)*'1 INVESTOINTISUUNNITELMA'!G23</f>
        <v>0</v>
      </c>
      <c r="G65" s="151">
        <f>'1 INVESTOINTISUUNNITELMA'!H20/(1+'1 INVESTOINTISUUNNITELMA'!H22)*'1 INVESTOINTISUUNNITELMA'!H23</f>
        <v>0</v>
      </c>
      <c r="H65" s="245">
        <f t="shared" ref="H65:H70" si="22">SUM(D65:G65)</f>
        <v>0</v>
      </c>
    </row>
    <row r="66" spans="3:8" x14ac:dyDescent="0.35">
      <c r="C66" s="198" t="s">
        <v>724</v>
      </c>
      <c r="D66" s="151">
        <f>'1 INVESTOINTISUUNNITELMA'!E24*'1 INVESTOINTISUUNNITELMA'!E26</f>
        <v>0</v>
      </c>
      <c r="E66" s="151">
        <f>'1 INVESTOINTISUUNNITELMA'!F24*'1 INVESTOINTISUUNNITELMA'!F26</f>
        <v>0</v>
      </c>
      <c r="F66" s="151">
        <f>'1 INVESTOINTISUUNNITELMA'!G24*'1 INVESTOINTISUUNNITELMA'!G26</f>
        <v>0</v>
      </c>
      <c r="G66" s="151">
        <f>'1 INVESTOINTISUUNNITELMA'!H24*'1 INVESTOINTISUUNNITELMA'!H26</f>
        <v>0</v>
      </c>
      <c r="H66" s="245">
        <f t="shared" si="22"/>
        <v>0</v>
      </c>
    </row>
    <row r="67" spans="3:8" x14ac:dyDescent="0.35">
      <c r="C67" s="198" t="s">
        <v>725</v>
      </c>
      <c r="D67" s="151">
        <f>('1 INVESTOINTISUUNNITELMA'!E27-'1 INVESTOINTISUUNNITELMA'!E58)/(1+'1 INVESTOINTISUUNNITELMA'!E28)*'1 INVESTOINTISUUNNITELMA'!E29</f>
        <v>0</v>
      </c>
      <c r="E67" s="151">
        <f>('1 INVESTOINTISUUNNITELMA'!F27-'1 INVESTOINTISUUNNITELMA'!F58)/(1+'1 INVESTOINTISUUNNITELMA'!F28)*'1 INVESTOINTISUUNNITELMA'!F29</f>
        <v>0</v>
      </c>
      <c r="F67" s="151">
        <f>('1 INVESTOINTISUUNNITELMA'!G27-'1 INVESTOINTISUUNNITELMA'!G58)/(1+'1 INVESTOINTISUUNNITELMA'!G28)*'1 INVESTOINTISUUNNITELMA'!G29</f>
        <v>0</v>
      </c>
      <c r="G67" s="151">
        <f>('1 INVESTOINTISUUNNITELMA'!H27-'1 INVESTOINTISUUNNITELMA'!H58)/(1+'1 INVESTOINTISUUNNITELMA'!H28)*'1 INVESTOINTISUUNNITELMA'!H29</f>
        <v>0</v>
      </c>
      <c r="H67" s="245">
        <f t="shared" si="22"/>
        <v>0</v>
      </c>
    </row>
    <row r="68" spans="3:8" x14ac:dyDescent="0.35">
      <c r="C68" s="198" t="s">
        <v>726</v>
      </c>
      <c r="D68" s="151">
        <f>('1 INVESTOINTISUUNNITELMA'!E30-'1 INVESTOINTISUUNNITELMA'!E59)*'1 INVESTOINTISUUNNITELMA'!E31</f>
        <v>0</v>
      </c>
      <c r="E68" s="151">
        <f>('1 INVESTOINTISUUNNITELMA'!F30-'1 INVESTOINTISUUNNITELMA'!F59)*'1 INVESTOINTISUUNNITELMA'!F31</f>
        <v>0</v>
      </c>
      <c r="F68" s="151">
        <f>('1 INVESTOINTISUUNNITELMA'!G30-'1 INVESTOINTISUUNNITELMA'!G59)*'1 INVESTOINTISUUNNITELMA'!G31</f>
        <v>0</v>
      </c>
      <c r="G68" s="151">
        <f>('1 INVESTOINTISUUNNITELMA'!H30-'1 INVESTOINTISUUNNITELMA'!H59)*'1 INVESTOINTISUUNNITELMA'!H31</f>
        <v>0</v>
      </c>
      <c r="H68" s="245">
        <f t="shared" si="22"/>
        <v>0</v>
      </c>
    </row>
    <row r="69" spans="3:8" x14ac:dyDescent="0.35">
      <c r="C69" s="198" t="s">
        <v>727</v>
      </c>
      <c r="D69" s="151">
        <f>'1 INVESTOINTISUUNNITELMA'!E32/(1+'1 INVESTOINTISUUNNITELMA'!E33)*'1 INVESTOINTISUUNNITELMA'!E34</f>
        <v>0</v>
      </c>
      <c r="E69" s="151">
        <f>'1 INVESTOINTISUUNNITELMA'!F32/(1+'1 INVESTOINTISUUNNITELMA'!F33)*'1 INVESTOINTISUUNNITELMA'!F34</f>
        <v>0</v>
      </c>
      <c r="F69" s="151">
        <f>'1 INVESTOINTISUUNNITELMA'!G32/(1+'1 INVESTOINTISUUNNITELMA'!G33)*'1 INVESTOINTISUUNNITELMA'!G34</f>
        <v>0</v>
      </c>
      <c r="G69" s="151">
        <f>'1 INVESTOINTISUUNNITELMA'!H32/(1+'1 INVESTOINTISUUNNITELMA'!H33)*'1 INVESTOINTISUUNNITELMA'!H34</f>
        <v>0</v>
      </c>
      <c r="H69" s="245">
        <f t="shared" si="22"/>
        <v>0</v>
      </c>
    </row>
    <row r="70" spans="3:8" ht="15" thickBot="1" x14ac:dyDescent="0.4">
      <c r="C70" s="231" t="s">
        <v>728</v>
      </c>
      <c r="D70" s="153">
        <f>('1 INVESTOINTISUUNNITELMA'!E35)/(1+'1 INVESTOINTISUUNNITELMA'!E36)*'1 INVESTOINTISUUNNITELMA'!E37</f>
        <v>0</v>
      </c>
      <c r="E70" s="153">
        <f>('1 INVESTOINTISUUNNITELMA'!F35)/(1+'1 INVESTOINTISUUNNITELMA'!F36)*'1 INVESTOINTISUUNNITELMA'!F37</f>
        <v>0</v>
      </c>
      <c r="F70" s="153">
        <f>('1 INVESTOINTISUUNNITELMA'!G35)/(1+'1 INVESTOINTISUUNNITELMA'!G36)*'1 INVESTOINTISUUNNITELMA'!G37</f>
        <v>0</v>
      </c>
      <c r="G70" s="153">
        <f>('1 INVESTOINTISUUNNITELMA'!H35)/(1+'1 INVESTOINTISUUNNITELMA'!H36)*'1 INVESTOINTISUUNNITELMA'!H37</f>
        <v>0</v>
      </c>
      <c r="H70" s="534">
        <f t="shared" si="22"/>
        <v>0</v>
      </c>
    </row>
    <row r="71" spans="3:8" ht="15" thickTop="1" x14ac:dyDescent="0.35">
      <c r="C71" s="544" t="s">
        <v>675</v>
      </c>
      <c r="D71" s="545">
        <f>SUM(D64:D70)</f>
        <v>0</v>
      </c>
      <c r="E71" s="545">
        <f t="shared" ref="E71:H71" si="23">SUM(E64:E70)</f>
        <v>0</v>
      </c>
      <c r="F71" s="545">
        <f t="shared" si="23"/>
        <v>0</v>
      </c>
      <c r="G71" s="545">
        <f t="shared" si="23"/>
        <v>0</v>
      </c>
      <c r="H71" s="546">
        <f t="shared" si="23"/>
        <v>0</v>
      </c>
    </row>
    <row r="72" spans="3:8" x14ac:dyDescent="0.35">
      <c r="C72" s="200"/>
      <c r="D72" s="146"/>
      <c r="E72" s="146"/>
      <c r="F72" s="146"/>
      <c r="G72" s="146"/>
      <c r="H72" s="201"/>
    </row>
    <row r="73" spans="3:8" x14ac:dyDescent="0.35">
      <c r="C73" s="174"/>
      <c r="D73" s="365" t="str">
        <f>'1 INVESTOINTISUUNNITELMA'!E15</f>
        <v>Ennuste 1</v>
      </c>
      <c r="E73" s="365" t="str">
        <f>'1 INVESTOINTISUUNNITELMA'!F15</f>
        <v>Ennuste 2</v>
      </c>
      <c r="F73" s="365" t="str">
        <f>'1 INVESTOINTISUUNNITELMA'!G15</f>
        <v>Ennuste 3</v>
      </c>
      <c r="G73" s="365" t="str">
        <f>'1 INVESTOINTISUUNNITELMA'!H15</f>
        <v>Ennuste 4</v>
      </c>
      <c r="H73" s="193"/>
    </row>
    <row r="74" spans="3:8" x14ac:dyDescent="0.35">
      <c r="C74" s="543" t="s">
        <v>738</v>
      </c>
      <c r="D74" s="157">
        <f>'1 INVESTOINTISUUNNITELMA'!E16</f>
        <v>2026</v>
      </c>
      <c r="E74" s="157">
        <f>'1 INVESTOINTISUUNNITELMA'!F16</f>
        <v>2027</v>
      </c>
      <c r="F74" s="157">
        <f>'1 INVESTOINTISUUNNITELMA'!G16</f>
        <v>2028</v>
      </c>
      <c r="G74" s="157">
        <f>'1 INVESTOINTISUUNNITELMA'!H16</f>
        <v>2029</v>
      </c>
      <c r="H74" s="339" t="s">
        <v>83</v>
      </c>
    </row>
    <row r="75" spans="3:8" x14ac:dyDescent="0.35">
      <c r="C75" s="198" t="s">
        <v>722</v>
      </c>
      <c r="D75" s="151">
        <f>D53-D64</f>
        <v>0</v>
      </c>
      <c r="E75" s="151">
        <f t="shared" ref="E75:G75" si="24">E53-E64</f>
        <v>0</v>
      </c>
      <c r="F75" s="151">
        <f t="shared" si="24"/>
        <v>0</v>
      </c>
      <c r="G75" s="151">
        <f t="shared" si="24"/>
        <v>0</v>
      </c>
      <c r="H75" s="245">
        <f>SUM(D75:G75)</f>
        <v>0</v>
      </c>
    </row>
    <row r="76" spans="3:8" x14ac:dyDescent="0.35">
      <c r="C76" s="198" t="s">
        <v>723</v>
      </c>
      <c r="D76" s="151">
        <f t="shared" ref="D76:G81" si="25">D54-D65</f>
        <v>0</v>
      </c>
      <c r="E76" s="151">
        <f t="shared" si="25"/>
        <v>0</v>
      </c>
      <c r="F76" s="151">
        <f t="shared" si="25"/>
        <v>0</v>
      </c>
      <c r="G76" s="151">
        <f t="shared" si="25"/>
        <v>0</v>
      </c>
      <c r="H76" s="245">
        <f t="shared" ref="H76:H81" si="26">SUM(D76:G76)</f>
        <v>0</v>
      </c>
    </row>
    <row r="77" spans="3:8" x14ac:dyDescent="0.35">
      <c r="C77" s="198" t="s">
        <v>724</v>
      </c>
      <c r="D77" s="151">
        <f t="shared" si="25"/>
        <v>0</v>
      </c>
      <c r="E77" s="151">
        <f t="shared" si="25"/>
        <v>0</v>
      </c>
      <c r="F77" s="151">
        <f t="shared" si="25"/>
        <v>0</v>
      </c>
      <c r="G77" s="151">
        <f t="shared" si="25"/>
        <v>0</v>
      </c>
      <c r="H77" s="245">
        <f t="shared" si="26"/>
        <v>0</v>
      </c>
    </row>
    <row r="78" spans="3:8" x14ac:dyDescent="0.35">
      <c r="C78" s="198" t="s">
        <v>725</v>
      </c>
      <c r="D78" s="151">
        <f t="shared" si="25"/>
        <v>0</v>
      </c>
      <c r="E78" s="151">
        <f t="shared" si="25"/>
        <v>0</v>
      </c>
      <c r="F78" s="151">
        <f t="shared" si="25"/>
        <v>0</v>
      </c>
      <c r="G78" s="151">
        <f t="shared" si="25"/>
        <v>0</v>
      </c>
      <c r="H78" s="245">
        <f t="shared" si="26"/>
        <v>0</v>
      </c>
    </row>
    <row r="79" spans="3:8" x14ac:dyDescent="0.35">
      <c r="C79" s="198" t="s">
        <v>726</v>
      </c>
      <c r="D79" s="151">
        <f t="shared" si="25"/>
        <v>0</v>
      </c>
      <c r="E79" s="151">
        <f t="shared" si="25"/>
        <v>0</v>
      </c>
      <c r="F79" s="151">
        <f t="shared" si="25"/>
        <v>0</v>
      </c>
      <c r="G79" s="151">
        <f t="shared" si="25"/>
        <v>0</v>
      </c>
      <c r="H79" s="245">
        <f t="shared" si="26"/>
        <v>0</v>
      </c>
    </row>
    <row r="80" spans="3:8" x14ac:dyDescent="0.35">
      <c r="C80" s="198" t="s">
        <v>727</v>
      </c>
      <c r="D80" s="151">
        <f t="shared" si="25"/>
        <v>0</v>
      </c>
      <c r="E80" s="151">
        <f t="shared" si="25"/>
        <v>0</v>
      </c>
      <c r="F80" s="151">
        <f t="shared" si="25"/>
        <v>0</v>
      </c>
      <c r="G80" s="151">
        <f t="shared" si="25"/>
        <v>0</v>
      </c>
      <c r="H80" s="245">
        <f t="shared" si="26"/>
        <v>0</v>
      </c>
    </row>
    <row r="81" spans="3:8" ht="15" thickBot="1" x14ac:dyDescent="0.4">
      <c r="C81" s="231" t="s">
        <v>728</v>
      </c>
      <c r="D81" s="153">
        <f t="shared" si="25"/>
        <v>0</v>
      </c>
      <c r="E81" s="153">
        <f t="shared" si="25"/>
        <v>0</v>
      </c>
      <c r="F81" s="153">
        <f t="shared" si="25"/>
        <v>0</v>
      </c>
      <c r="G81" s="153">
        <f t="shared" si="25"/>
        <v>0</v>
      </c>
      <c r="H81" s="534">
        <f t="shared" si="26"/>
        <v>0</v>
      </c>
    </row>
    <row r="82" spans="3:8" ht="15.5" thickTop="1" thickBot="1" x14ac:dyDescent="0.4">
      <c r="C82" s="547" t="s">
        <v>739</v>
      </c>
      <c r="D82" s="548">
        <f>SUM(D75:D81)</f>
        <v>0</v>
      </c>
      <c r="E82" s="548">
        <f t="shared" ref="E82:H82" si="27">SUM(E75:E81)</f>
        <v>0</v>
      </c>
      <c r="F82" s="548">
        <f t="shared" si="27"/>
        <v>0</v>
      </c>
      <c r="G82" s="548">
        <f t="shared" si="27"/>
        <v>0</v>
      </c>
      <c r="H82" s="549">
        <f t="shared" si="27"/>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DED47-CFF6-4A59-B5AE-8DFD3F506E6F}">
  <sheetPr codeName="Taul11"/>
  <dimension ref="B2:Y38"/>
  <sheetViews>
    <sheetView workbookViewId="0">
      <selection activeCell="F8" sqref="F8"/>
    </sheetView>
  </sheetViews>
  <sheetFormatPr defaultColWidth="8.7265625" defaultRowHeight="16" customHeight="1" x14ac:dyDescent="0.35"/>
  <cols>
    <col min="1" max="1" width="2.7265625" style="5" customWidth="1"/>
    <col min="2" max="2" width="10.7265625" style="5" customWidth="1"/>
    <col min="3" max="3" width="3.7265625" style="5" customWidth="1"/>
    <col min="4" max="4" width="55.7265625" style="5" customWidth="1"/>
    <col min="5" max="5" width="3.453125" style="5" bestFit="1" customWidth="1"/>
    <col min="6" max="6" width="12.7265625" style="5" customWidth="1"/>
    <col min="7" max="7" width="6.1796875" style="5" customWidth="1"/>
    <col min="8" max="8" width="12.7265625" style="5" customWidth="1"/>
    <col min="9" max="9" width="6.1796875" style="5" customWidth="1"/>
    <col min="10" max="10" width="12.7265625" style="5" customWidth="1"/>
    <col min="11" max="11" width="6.1796875" style="5" customWidth="1"/>
    <col min="12" max="12" width="12.7265625" style="5" customWidth="1"/>
    <col min="13" max="13" width="6.1796875" style="5" customWidth="1"/>
    <col min="14" max="14" width="12.7265625" style="5" customWidth="1"/>
    <col min="15" max="15" width="6.1796875" style="5" customWidth="1"/>
    <col min="16" max="16" width="12.7265625" style="5" customWidth="1"/>
    <col min="17" max="17" width="6.1796875" style="5" customWidth="1"/>
    <col min="18" max="18" width="8.7265625" style="5"/>
    <col min="19" max="22" width="10.7265625" style="5" customWidth="1"/>
    <col min="23" max="16384" width="8.7265625" style="5"/>
  </cols>
  <sheetData>
    <row r="2" spans="2:25" ht="16" customHeight="1" x14ac:dyDescent="0.5">
      <c r="B2" s="822" t="s">
        <v>626</v>
      </c>
      <c r="D2" s="16" t="s">
        <v>792</v>
      </c>
    </row>
    <row r="3" spans="2:25" ht="16" customHeight="1" x14ac:dyDescent="0.35">
      <c r="D3" s="14"/>
    </row>
    <row r="4" spans="2:25" ht="16" customHeight="1" x14ac:dyDescent="0.35">
      <c r="D4" s="14" t="s">
        <v>867</v>
      </c>
      <c r="H4" s="14" t="s">
        <v>868</v>
      </c>
      <c r="P4" s="14" t="s">
        <v>869</v>
      </c>
    </row>
    <row r="5" spans="2:25" ht="16" customHeight="1" x14ac:dyDescent="0.35">
      <c r="D5" s="663" t="str">
        <f>'1 INVESTOINTISUUNNITELMA'!D5</f>
        <v>Malliyritys Oy</v>
      </c>
      <c r="H5" s="1015" t="str">
        <f>'1 INVESTOINTISUUNNITELMA'!D8</f>
        <v>Aki Laaksonen</v>
      </c>
      <c r="I5" s="1015"/>
      <c r="J5" s="1015"/>
      <c r="K5" s="1015"/>
      <c r="L5" s="1015"/>
      <c r="M5" s="1015"/>
      <c r="P5" s="1016">
        <f>'1 INVESTOINTISUUNNITELMA'!I5</f>
        <v>46159</v>
      </c>
      <c r="Q5" s="1015"/>
    </row>
    <row r="6" spans="2:25" ht="16" customHeight="1" thickBot="1" x14ac:dyDescent="0.4"/>
    <row r="7" spans="2:25" ht="16" customHeight="1" x14ac:dyDescent="0.35">
      <c r="C7" s="408"/>
      <c r="D7" s="539"/>
      <c r="E7" s="540"/>
      <c r="F7" s="1021" t="s">
        <v>561</v>
      </c>
      <c r="G7" s="1022"/>
      <c r="H7" s="1021" t="s">
        <v>561</v>
      </c>
      <c r="I7" s="1022"/>
      <c r="J7" s="1019" t="s">
        <v>447</v>
      </c>
      <c r="K7" s="1020"/>
      <c r="L7" s="1019" t="s">
        <v>444</v>
      </c>
      <c r="M7" s="1020"/>
      <c r="N7" s="1019" t="s">
        <v>445</v>
      </c>
      <c r="O7" s="1020"/>
      <c r="P7" s="1019" t="s">
        <v>446</v>
      </c>
      <c r="Q7" s="1020"/>
      <c r="S7" s="740" t="s">
        <v>878</v>
      </c>
      <c r="T7" s="524"/>
      <c r="U7" s="524"/>
      <c r="V7" s="524"/>
      <c r="W7" s="524"/>
      <c r="X7" s="524"/>
      <c r="Y7" s="150"/>
    </row>
    <row r="8" spans="2:25" ht="16" customHeight="1" x14ac:dyDescent="0.4">
      <c r="C8" s="410"/>
      <c r="D8" s="411"/>
      <c r="E8" s="550"/>
      <c r="F8" s="885">
        <f>H8-1</f>
        <v>2024</v>
      </c>
      <c r="G8" s="886"/>
      <c r="H8" s="885">
        <f>J8-1</f>
        <v>2025</v>
      </c>
      <c r="I8" s="886"/>
      <c r="J8" s="885">
        <f>'1 INVESTOINTISUUNNITELMA'!E16</f>
        <v>2026</v>
      </c>
      <c r="K8" s="886"/>
      <c r="L8" s="415">
        <f>J8+1</f>
        <v>2027</v>
      </c>
      <c r="M8" s="551"/>
      <c r="N8" s="415">
        <f>L8+1</f>
        <v>2028</v>
      </c>
      <c r="O8" s="551"/>
      <c r="P8" s="415">
        <f>N8+1</f>
        <v>2029</v>
      </c>
      <c r="Q8" s="551"/>
      <c r="S8" s="51"/>
      <c r="Y8" s="528"/>
    </row>
    <row r="9" spans="2:25" ht="16" customHeight="1" x14ac:dyDescent="0.35">
      <c r="C9" s="412"/>
      <c r="D9" s="341"/>
      <c r="E9" s="542"/>
      <c r="F9" s="413" t="s">
        <v>559</v>
      </c>
      <c r="G9" s="414" t="s">
        <v>560</v>
      </c>
      <c r="H9" s="413" t="s">
        <v>559</v>
      </c>
      <c r="I9" s="414" t="s">
        <v>560</v>
      </c>
      <c r="J9" s="413" t="s">
        <v>559</v>
      </c>
      <c r="K9" s="414" t="s">
        <v>560</v>
      </c>
      <c r="L9" s="413" t="s">
        <v>559</v>
      </c>
      <c r="M9" s="414" t="s">
        <v>560</v>
      </c>
      <c r="N9" s="413" t="s">
        <v>559</v>
      </c>
      <c r="O9" s="414" t="s">
        <v>560</v>
      </c>
      <c r="P9" s="413" t="s">
        <v>559</v>
      </c>
      <c r="Q9" s="414" t="s">
        <v>560</v>
      </c>
      <c r="S9" s="51"/>
      <c r="Y9" s="528"/>
    </row>
    <row r="10" spans="2:25" ht="16" customHeight="1" x14ac:dyDescent="0.35">
      <c r="C10" s="200"/>
      <c r="D10" s="154" t="s">
        <v>562</v>
      </c>
      <c r="E10" s="201"/>
      <c r="F10" s="887">
        <v>12</v>
      </c>
      <c r="G10" s="888"/>
      <c r="H10" s="887">
        <v>12</v>
      </c>
      <c r="I10" s="888"/>
      <c r="J10" s="887">
        <v>12</v>
      </c>
      <c r="K10" s="888"/>
      <c r="L10" s="887">
        <v>12</v>
      </c>
      <c r="M10" s="888"/>
      <c r="N10" s="887">
        <v>12</v>
      </c>
      <c r="O10" s="888"/>
      <c r="P10" s="887">
        <v>12</v>
      </c>
      <c r="Q10" s="888"/>
      <c r="S10" s="1017" t="s">
        <v>583</v>
      </c>
      <c r="T10" s="1018"/>
      <c r="U10" s="1018"/>
      <c r="V10" s="1018"/>
      <c r="Y10" s="528"/>
    </row>
    <row r="11" spans="2:25" ht="16" customHeight="1" x14ac:dyDescent="0.35">
      <c r="C11" s="200" t="s">
        <v>275</v>
      </c>
      <c r="D11" s="154" t="s">
        <v>215</v>
      </c>
      <c r="E11" s="202" t="s">
        <v>222</v>
      </c>
      <c r="F11" s="889"/>
      <c r="G11" s="679"/>
      <c r="H11" s="889"/>
      <c r="I11" s="682"/>
      <c r="J11" s="552">
        <f>'6 LIIKEVAIHTO'!G10</f>
        <v>0</v>
      </c>
      <c r="K11" s="682"/>
      <c r="L11" s="552">
        <f>'6 LIIKEVAIHTO'!H10</f>
        <v>0</v>
      </c>
      <c r="M11" s="682"/>
      <c r="N11" s="552">
        <f>'6 LIIKEVAIHTO'!I10</f>
        <v>0</v>
      </c>
      <c r="O11" s="682"/>
      <c r="P11" s="552">
        <f>'6 LIIKEVAIHTO'!J10</f>
        <v>0</v>
      </c>
      <c r="Q11" s="682"/>
      <c r="S11" s="336">
        <f>J8</f>
        <v>2026</v>
      </c>
      <c r="T11" s="336">
        <f>L8</f>
        <v>2027</v>
      </c>
      <c r="U11" s="336">
        <f>N8</f>
        <v>2028</v>
      </c>
      <c r="V11" s="336">
        <f>P8</f>
        <v>2029</v>
      </c>
      <c r="Y11" s="528"/>
    </row>
    <row r="12" spans="2:25" ht="16" customHeight="1" x14ac:dyDescent="0.35">
      <c r="C12" s="200" t="s">
        <v>276</v>
      </c>
      <c r="D12" s="146" t="s">
        <v>207</v>
      </c>
      <c r="E12" s="202" t="s">
        <v>222</v>
      </c>
      <c r="F12" s="890"/>
      <c r="G12" s="680"/>
      <c r="H12" s="890"/>
      <c r="I12" s="683"/>
      <c r="J12" s="890">
        <f>H12+H12*S12</f>
        <v>0</v>
      </c>
      <c r="K12" s="683"/>
      <c r="L12" s="890">
        <f>J12+J12*T12</f>
        <v>0</v>
      </c>
      <c r="M12" s="683"/>
      <c r="N12" s="890">
        <f>L12+L12*U12</f>
        <v>0</v>
      </c>
      <c r="O12" s="683"/>
      <c r="P12" s="890">
        <f>N12+N12*V12</f>
        <v>0</v>
      </c>
      <c r="Q12" s="683"/>
      <c r="S12" s="896">
        <v>0.01</v>
      </c>
      <c r="T12" s="896">
        <f>S12</f>
        <v>0.01</v>
      </c>
      <c r="U12" s="896">
        <f t="shared" ref="U12:V12" si="0">T12</f>
        <v>0.01</v>
      </c>
      <c r="V12" s="896">
        <f t="shared" si="0"/>
        <v>0.01</v>
      </c>
      <c r="Y12" s="528"/>
    </row>
    <row r="13" spans="2:25" ht="16" customHeight="1" thickBot="1" x14ac:dyDescent="0.4">
      <c r="C13" s="532" t="s">
        <v>277</v>
      </c>
      <c r="D13" s="553" t="s">
        <v>208</v>
      </c>
      <c r="E13" s="242" t="s">
        <v>222</v>
      </c>
      <c r="F13" s="891"/>
      <c r="G13" s="681"/>
      <c r="H13" s="891"/>
      <c r="I13" s="684"/>
      <c r="J13" s="891">
        <v>0</v>
      </c>
      <c r="K13" s="684"/>
      <c r="L13" s="891">
        <v>0</v>
      </c>
      <c r="M13" s="684"/>
      <c r="N13" s="891">
        <v>0</v>
      </c>
      <c r="O13" s="684"/>
      <c r="P13" s="891">
        <v>0</v>
      </c>
      <c r="Q13" s="684"/>
      <c r="S13" s="877"/>
      <c r="T13" s="878"/>
      <c r="U13" s="878"/>
      <c r="V13" s="878"/>
      <c r="W13" s="878"/>
      <c r="X13" s="878"/>
      <c r="Y13" s="879"/>
    </row>
    <row r="14" spans="2:25" ht="16" customHeight="1" thickTop="1" x14ac:dyDescent="0.35">
      <c r="C14" s="204" t="s">
        <v>278</v>
      </c>
      <c r="D14" s="241" t="s">
        <v>219</v>
      </c>
      <c r="E14" s="205"/>
      <c r="F14" s="554">
        <f>SUM(F11:F13)</f>
        <v>0</v>
      </c>
      <c r="G14" s="555">
        <v>100</v>
      </c>
      <c r="H14" s="554">
        <f>SUM(H11:H13)</f>
        <v>0</v>
      </c>
      <c r="I14" s="555">
        <v>100</v>
      </c>
      <c r="J14" s="554">
        <f>SUM(J11:J13)</f>
        <v>0</v>
      </c>
      <c r="K14" s="555">
        <v>100</v>
      </c>
      <c r="L14" s="554">
        <f>SUM(L11:L13)</f>
        <v>0</v>
      </c>
      <c r="M14" s="555">
        <v>100</v>
      </c>
      <c r="N14" s="554">
        <f>SUM(N11:N13)</f>
        <v>0</v>
      </c>
      <c r="O14" s="555">
        <v>100</v>
      </c>
      <c r="P14" s="554">
        <f>SUM(P11:P13)</f>
        <v>0</v>
      </c>
      <c r="Q14" s="555">
        <v>100</v>
      </c>
      <c r="S14" s="877"/>
      <c r="T14" s="878"/>
      <c r="U14" s="878"/>
      <c r="V14" s="878"/>
      <c r="W14" s="878"/>
      <c r="X14" s="878"/>
      <c r="Y14" s="879"/>
    </row>
    <row r="15" spans="2:25" ht="16" customHeight="1" x14ac:dyDescent="0.35">
      <c r="C15" s="200" t="s">
        <v>279</v>
      </c>
      <c r="D15" s="146" t="s">
        <v>209</v>
      </c>
      <c r="E15" s="202" t="s">
        <v>223</v>
      </c>
      <c r="F15" s="890"/>
      <c r="G15" s="556">
        <f>-IF(F$14&gt;0,F15/F$14*100,0)</f>
        <v>0</v>
      </c>
      <c r="H15" s="890"/>
      <c r="I15" s="556">
        <f>-IF(H$14&gt;0,H15/H$14*100,0)</f>
        <v>0</v>
      </c>
      <c r="J15" s="557">
        <f>-'6 LIIKEVAIHTO'!G11</f>
        <v>0</v>
      </c>
      <c r="K15" s="556">
        <f>-IF(J$14&gt;0,J15/J$14*100,0)</f>
        <v>0</v>
      </c>
      <c r="L15" s="557">
        <f>-'6 LIIKEVAIHTO'!H11</f>
        <v>0</v>
      </c>
      <c r="M15" s="556">
        <f>-IF(L$14&gt;0,L15/L$14*100,0)</f>
        <v>0</v>
      </c>
      <c r="N15" s="557">
        <f>-'6 LIIKEVAIHTO'!I11</f>
        <v>0</v>
      </c>
      <c r="O15" s="556">
        <f>-IF(N$14&gt;0,N15/N$14*100,0)</f>
        <v>0</v>
      </c>
      <c r="P15" s="557">
        <f>-'6 LIIKEVAIHTO'!J11</f>
        <v>0</v>
      </c>
      <c r="Q15" s="556">
        <f>-IF(P$14&gt;0,P15/P$14*100,0)</f>
        <v>0</v>
      </c>
      <c r="S15" s="877"/>
      <c r="T15" s="878"/>
      <c r="U15" s="878"/>
      <c r="V15" s="878"/>
      <c r="W15" s="878"/>
      <c r="X15" s="878"/>
      <c r="Y15" s="879"/>
    </row>
    <row r="16" spans="2:25" ht="16" customHeight="1" x14ac:dyDescent="0.35">
      <c r="C16" s="200" t="s">
        <v>285</v>
      </c>
      <c r="D16" s="146" t="s">
        <v>210</v>
      </c>
      <c r="E16" s="202" t="s">
        <v>223</v>
      </c>
      <c r="F16" s="890"/>
      <c r="G16" s="556">
        <f t="shared" ref="G16:I18" si="1">-IF(F$14&gt;0,F16/F$14*100,0)</f>
        <v>0</v>
      </c>
      <c r="H16" s="890"/>
      <c r="I16" s="556">
        <f t="shared" si="1"/>
        <v>0</v>
      </c>
      <c r="J16" s="557">
        <f>-K16*J14/100</f>
        <v>0</v>
      </c>
      <c r="K16" s="892">
        <f>I16</f>
        <v>0</v>
      </c>
      <c r="L16" s="557">
        <f>-M16*L14/100</f>
        <v>0</v>
      </c>
      <c r="M16" s="892">
        <f>K16</f>
        <v>0</v>
      </c>
      <c r="N16" s="557">
        <f>-O16*N14/100</f>
        <v>0</v>
      </c>
      <c r="O16" s="892">
        <f>M16</f>
        <v>0</v>
      </c>
      <c r="P16" s="557">
        <f>-Q16*P14/100</f>
        <v>0</v>
      </c>
      <c r="Q16" s="892">
        <f>O16</f>
        <v>0</v>
      </c>
      <c r="S16" s="877"/>
      <c r="T16" s="878"/>
      <c r="U16" s="878"/>
      <c r="V16" s="878"/>
      <c r="W16" s="878"/>
      <c r="X16" s="878"/>
      <c r="Y16" s="879"/>
    </row>
    <row r="17" spans="3:25" ht="16" customHeight="1" x14ac:dyDescent="0.35">
      <c r="C17" s="200" t="s">
        <v>286</v>
      </c>
      <c r="D17" s="146" t="s">
        <v>211</v>
      </c>
      <c r="E17" s="202" t="s">
        <v>223</v>
      </c>
      <c r="F17" s="890"/>
      <c r="G17" s="556">
        <f t="shared" si="1"/>
        <v>0</v>
      </c>
      <c r="H17" s="890"/>
      <c r="I17" s="556">
        <f t="shared" si="1"/>
        <v>0</v>
      </c>
      <c r="J17" s="557">
        <f>-'5 KUSTANNUKSET'!G44-'3 TASE'!I90+'3 TASE'!H90-'3 TASE'!I91+'3 TASE'!H91</f>
        <v>0</v>
      </c>
      <c r="K17" s="556">
        <f>-IF(J$14&gt;0,J17/J$14*100,0)</f>
        <v>0</v>
      </c>
      <c r="L17" s="557">
        <f>-'5 KUSTANNUKSET'!I44-('3 TASE'!J90-'3 TASE'!I90)-('3 TASE'!J91-'3 TASE'!I91)</f>
        <v>0</v>
      </c>
      <c r="M17" s="556">
        <f>-IF(L$14&gt;0,L17/L$14*100,0)</f>
        <v>0</v>
      </c>
      <c r="N17" s="557">
        <f>-'5 KUSTANNUKSET'!K44-('3 TASE'!K90-'3 TASE'!J90)-('3 TASE'!K91-'3 TASE'!J91)</f>
        <v>0</v>
      </c>
      <c r="O17" s="556">
        <f>-IF(N$14&gt;0,N17/N$14*100,0)</f>
        <v>0</v>
      </c>
      <c r="P17" s="557">
        <f>-'5 KUSTANNUKSET'!M44-('3 TASE'!L90-'3 TASE'!K90)-('3 TASE'!L91-'3 TASE'!K91)</f>
        <v>0</v>
      </c>
      <c r="Q17" s="556">
        <f>-IF(P$14&gt;0,P17/P$14*100,0)</f>
        <v>0</v>
      </c>
      <c r="S17" s="881"/>
      <c r="T17" s="878"/>
      <c r="U17" s="878"/>
      <c r="V17" s="878"/>
      <c r="W17" s="878"/>
      <c r="X17" s="878"/>
      <c r="Y17" s="879"/>
    </row>
    <row r="18" spans="3:25" ht="16" customHeight="1" x14ac:dyDescent="0.35">
      <c r="C18" s="200" t="s">
        <v>289</v>
      </c>
      <c r="D18" s="146" t="s">
        <v>212</v>
      </c>
      <c r="E18" s="202" t="s">
        <v>223</v>
      </c>
      <c r="F18" s="890"/>
      <c r="G18" s="556">
        <f t="shared" si="1"/>
        <v>0</v>
      </c>
      <c r="H18" s="890"/>
      <c r="I18" s="556">
        <f t="shared" si="1"/>
        <v>0</v>
      </c>
      <c r="J18" s="557">
        <f>-'5 KUSTANNUKSET'!G45</f>
        <v>0</v>
      </c>
      <c r="K18" s="556">
        <f>-IF(J$14&gt;0,J18/J$14*100,0)</f>
        <v>0</v>
      </c>
      <c r="L18" s="557">
        <f>-'5 KUSTANNUKSET'!I45</f>
        <v>0</v>
      </c>
      <c r="M18" s="556">
        <f>-IF(L$14&gt;0,L18/L$14*100,0)</f>
        <v>0</v>
      </c>
      <c r="N18" s="557">
        <f>-'5 KUSTANNUKSET'!K45</f>
        <v>0</v>
      </c>
      <c r="O18" s="556">
        <f>-IF(N$14&gt;0,N18/N$14*100,0)</f>
        <v>0</v>
      </c>
      <c r="P18" s="557">
        <f>-'5 KUSTANNUKSET'!M45</f>
        <v>0</v>
      </c>
      <c r="Q18" s="556">
        <f>-IF(P$14&gt;0,P18/P$14*100,0)</f>
        <v>0</v>
      </c>
      <c r="S18" s="877"/>
      <c r="T18" s="878"/>
      <c r="U18" s="878"/>
      <c r="V18" s="878"/>
      <c r="W18" s="878"/>
      <c r="X18" s="878"/>
      <c r="Y18" s="879"/>
    </row>
    <row r="19" spans="3:25" ht="16" customHeight="1" thickBot="1" x14ac:dyDescent="0.4">
      <c r="C19" s="532" t="s">
        <v>290</v>
      </c>
      <c r="D19" s="553" t="s">
        <v>866</v>
      </c>
      <c r="E19" s="242" t="s">
        <v>224</v>
      </c>
      <c r="F19" s="891"/>
      <c r="G19" s="558">
        <f>IF(F$14&gt;0,F19/F$14*100,0)</f>
        <v>0</v>
      </c>
      <c r="H19" s="891"/>
      <c r="I19" s="558">
        <f>IF(H$14&gt;0,H19/H$14*100,0)</f>
        <v>0</v>
      </c>
      <c r="J19" s="559">
        <f>'3 TASE'!I36-'3 TASE'!H36</f>
        <v>0</v>
      </c>
      <c r="K19" s="558">
        <f>IF(J$14&gt;0,J19/J$14*100,0)</f>
        <v>0</v>
      </c>
      <c r="L19" s="559">
        <f>'3 TASE'!J36-'3 TASE'!I36</f>
        <v>0</v>
      </c>
      <c r="M19" s="558">
        <f>IF(L$14&gt;0,L19/L$14*100,0)</f>
        <v>0</v>
      </c>
      <c r="N19" s="559">
        <f>'3 TASE'!K36-'3 TASE'!J36</f>
        <v>0</v>
      </c>
      <c r="O19" s="558">
        <f>IF(N$14&gt;0,N19/N$14*100,0)</f>
        <v>0</v>
      </c>
      <c r="P19" s="559">
        <f>'3 TASE'!L36-'3 TASE'!K36</f>
        <v>0</v>
      </c>
      <c r="Q19" s="558">
        <f>IF(P$14&gt;0,P19/P$14*100,0)</f>
        <v>0</v>
      </c>
      <c r="S19" s="881"/>
      <c r="T19" s="878"/>
      <c r="U19" s="878"/>
      <c r="V19" s="878"/>
      <c r="W19" s="878"/>
      <c r="X19" s="878"/>
      <c r="Y19" s="879"/>
    </row>
    <row r="20" spans="3:25" ht="16" customHeight="1" thickTop="1" x14ac:dyDescent="0.35">
      <c r="C20" s="204" t="s">
        <v>291</v>
      </c>
      <c r="D20" s="241" t="s">
        <v>584</v>
      </c>
      <c r="E20" s="205"/>
      <c r="F20" s="554">
        <f>F14+F15+F16+F17+F18+F19</f>
        <v>0</v>
      </c>
      <c r="G20" s="560">
        <f>IF(F$14&gt;0,F20/F$14*100,0)</f>
        <v>0</v>
      </c>
      <c r="H20" s="554">
        <f>H14+H15+H16+H17+H18+H19</f>
        <v>0</v>
      </c>
      <c r="I20" s="560">
        <f>IF(H$14&gt;0,H20/H$14*100,0)</f>
        <v>0</v>
      </c>
      <c r="J20" s="554">
        <f>J14+J15+J16+J17+J18+J19</f>
        <v>0</v>
      </c>
      <c r="K20" s="560">
        <f>IF(J$14&gt;0,J20/J$14*100,0)</f>
        <v>0</v>
      </c>
      <c r="L20" s="554">
        <f>L14+L15+L16+L17+L18+L19</f>
        <v>0</v>
      </c>
      <c r="M20" s="560">
        <f>IF(L$14&gt;0,L20/L$14*100,0)</f>
        <v>0</v>
      </c>
      <c r="N20" s="554">
        <f>N14+N15+N16+N17+N18+N19</f>
        <v>0</v>
      </c>
      <c r="O20" s="560">
        <f>IF(N$14&gt;0,N20/N$14*100,0)</f>
        <v>0</v>
      </c>
      <c r="P20" s="554">
        <f>P14+P15+P16+P17+P18+P19</f>
        <v>0</v>
      </c>
      <c r="Q20" s="560">
        <f>IF(P$14&gt;0,P20/P$14*100,0)</f>
        <v>0</v>
      </c>
      <c r="S20" s="877"/>
      <c r="T20" s="878"/>
      <c r="U20" s="878"/>
      <c r="V20" s="878"/>
      <c r="W20" s="878"/>
      <c r="X20" s="878"/>
      <c r="Y20" s="879"/>
    </row>
    <row r="21" spans="3:25" ht="16" customHeight="1" thickBot="1" x14ac:dyDescent="0.4">
      <c r="C21" s="532" t="s">
        <v>292</v>
      </c>
      <c r="D21" s="553" t="s">
        <v>214</v>
      </c>
      <c r="E21" s="242" t="s">
        <v>223</v>
      </c>
      <c r="F21" s="891"/>
      <c r="G21" s="558">
        <f>-IF(F$14&gt;0,F21/F$14*100,0)</f>
        <v>0</v>
      </c>
      <c r="H21" s="891"/>
      <c r="I21" s="558">
        <f>-IF(H$14&gt;0,H21/H$14*100,0)</f>
        <v>0</v>
      </c>
      <c r="J21" s="559">
        <f>-'3 TASE'!I14-'3 TASE'!I22-'3 TASE'!I26-'3 TASE'!I30</f>
        <v>0</v>
      </c>
      <c r="K21" s="558">
        <f>-IF(J$11&gt;0,J21/J$14*100,0)</f>
        <v>0</v>
      </c>
      <c r="L21" s="559">
        <f>-'3 TASE'!J14-'3 TASE'!J22-'3 TASE'!J26-'3 TASE'!J30</f>
        <v>0</v>
      </c>
      <c r="M21" s="558">
        <f>-IF(L$11&gt;0,L21/L$14*100,0)</f>
        <v>0</v>
      </c>
      <c r="N21" s="559">
        <f>-'3 TASE'!K14-'3 TASE'!K22-'3 TASE'!K26-'3 TASE'!K30</f>
        <v>0</v>
      </c>
      <c r="O21" s="558">
        <f>-IF(N$11&gt;0,N21/N$14*100,0)</f>
        <v>0</v>
      </c>
      <c r="P21" s="559">
        <f>-'3 TASE'!L14-'3 TASE'!L22-'3 TASE'!L26-'3 TASE'!L30</f>
        <v>0</v>
      </c>
      <c r="Q21" s="558">
        <f>-IF(P$11&gt;0,P21/P$14*100,0)</f>
        <v>0</v>
      </c>
      <c r="S21" s="877"/>
      <c r="T21" s="878"/>
      <c r="U21" s="878"/>
      <c r="V21" s="878"/>
      <c r="W21" s="878"/>
      <c r="X21" s="878"/>
      <c r="Y21" s="879"/>
    </row>
    <row r="22" spans="3:25" ht="16" customHeight="1" thickTop="1" x14ac:dyDescent="0.35">
      <c r="C22" s="204" t="s">
        <v>297</v>
      </c>
      <c r="D22" s="241" t="s">
        <v>220</v>
      </c>
      <c r="E22" s="205"/>
      <c r="F22" s="554">
        <f>F20+F21</f>
        <v>0</v>
      </c>
      <c r="G22" s="560">
        <f>IF(F$14&gt;0,F22/F$14*100,0)</f>
        <v>0</v>
      </c>
      <c r="H22" s="554">
        <f>H20+H21</f>
        <v>0</v>
      </c>
      <c r="I22" s="560">
        <f>IF(H$14&gt;0,H22/H$14*100,0)</f>
        <v>0</v>
      </c>
      <c r="J22" s="554">
        <f>J20+J21</f>
        <v>0</v>
      </c>
      <c r="K22" s="560">
        <f>IF(J$11&gt;0,J22/J$14*100,0)</f>
        <v>0</v>
      </c>
      <c r="L22" s="554">
        <f>L20+L21</f>
        <v>0</v>
      </c>
      <c r="M22" s="560">
        <f>IF(L$11&gt;0,L22/L$14*100,0)</f>
        <v>0</v>
      </c>
      <c r="N22" s="554">
        <f>N20+N21</f>
        <v>0</v>
      </c>
      <c r="O22" s="560">
        <f>IF(N$11&gt;0,N22/N$14*100,0)</f>
        <v>0</v>
      </c>
      <c r="P22" s="554">
        <f>P20+P21</f>
        <v>0</v>
      </c>
      <c r="Q22" s="560">
        <f>IF(P$11&gt;0,P22/P$14*100,0)</f>
        <v>0</v>
      </c>
      <c r="S22" s="877"/>
      <c r="T22" s="878"/>
      <c r="U22" s="878"/>
      <c r="V22" s="878"/>
      <c r="W22" s="878"/>
      <c r="X22" s="878"/>
      <c r="Y22" s="879"/>
    </row>
    <row r="23" spans="3:25" ht="16" customHeight="1" x14ac:dyDescent="0.35">
      <c r="C23" s="200" t="s">
        <v>299</v>
      </c>
      <c r="D23" s="146" t="s">
        <v>216</v>
      </c>
      <c r="E23" s="202" t="s">
        <v>222</v>
      </c>
      <c r="F23" s="890"/>
      <c r="G23" s="556">
        <f>IF(F$14&gt;0,F23/F$14*100,0)</f>
        <v>0</v>
      </c>
      <c r="H23" s="890"/>
      <c r="I23" s="556">
        <f>IF(H$14&gt;0,H23/H$14*100,0)</f>
        <v>0</v>
      </c>
      <c r="J23" s="890"/>
      <c r="K23" s="556">
        <f>IF(J$14&gt;0,J23/J$14*100,0)</f>
        <v>0</v>
      </c>
      <c r="L23" s="890"/>
      <c r="M23" s="556">
        <f>IF(L$14&gt;0,L23/L$14*100,0)</f>
        <v>0</v>
      </c>
      <c r="N23" s="890"/>
      <c r="O23" s="556">
        <f>IF(N$14&gt;0,N23/N$14*100,0)</f>
        <v>0</v>
      </c>
      <c r="P23" s="890"/>
      <c r="Q23" s="556">
        <f>IF(P$14&gt;0,P23/P$14*100,0)</f>
        <v>0</v>
      </c>
      <c r="S23" s="877"/>
      <c r="T23" s="878"/>
      <c r="U23" s="878"/>
      <c r="V23" s="878"/>
      <c r="W23" s="878"/>
      <c r="X23" s="878"/>
      <c r="Y23" s="879"/>
    </row>
    <row r="24" spans="3:25" ht="16" customHeight="1" x14ac:dyDescent="0.35">
      <c r="C24" s="200" t="s">
        <v>300</v>
      </c>
      <c r="D24" s="146" t="s">
        <v>217</v>
      </c>
      <c r="E24" s="202" t="s">
        <v>222</v>
      </c>
      <c r="F24" s="890"/>
      <c r="G24" s="556">
        <f>IF(F$14&gt;0,F24/F$14*100,0)</f>
        <v>0</v>
      </c>
      <c r="H24" s="890"/>
      <c r="I24" s="556">
        <f>IF(H$14&gt;0,H24/H$14*100,0)</f>
        <v>0</v>
      </c>
      <c r="J24" s="890"/>
      <c r="K24" s="556">
        <f>IF(J$14&gt;0,J24/J$14*100,0)</f>
        <v>0</v>
      </c>
      <c r="L24" s="890"/>
      <c r="M24" s="556">
        <f>IF(L$14&gt;0,L24/L$14*100,0)</f>
        <v>0</v>
      </c>
      <c r="N24" s="890"/>
      <c r="O24" s="556">
        <f>IF(N$14&gt;0,N24/N$14*100,0)</f>
        <v>0</v>
      </c>
      <c r="P24" s="890"/>
      <c r="Q24" s="556">
        <f>IF(P$14&gt;0,P24/P$14*100,0)</f>
        <v>0</v>
      </c>
      <c r="S24" s="897"/>
      <c r="T24" s="878"/>
      <c r="U24" s="878"/>
      <c r="V24" s="878"/>
      <c r="W24" s="878"/>
      <c r="X24" s="878"/>
      <c r="Y24" s="879"/>
    </row>
    <row r="25" spans="3:25" ht="16" customHeight="1" thickBot="1" x14ac:dyDescent="0.4">
      <c r="C25" s="532" t="s">
        <v>301</v>
      </c>
      <c r="D25" s="553" t="s">
        <v>218</v>
      </c>
      <c r="E25" s="242" t="s">
        <v>223</v>
      </c>
      <c r="F25" s="891"/>
      <c r="G25" s="558">
        <f>-IF(F$14&gt;0,F25/F$14*100,0)</f>
        <v>0</v>
      </c>
      <c r="H25" s="891"/>
      <c r="I25" s="558">
        <f>-IF(H$14&gt;0,H25/H$14*100,0)</f>
        <v>0</v>
      </c>
      <c r="J25" s="559">
        <f>-'4 LAINAT'!I51</f>
        <v>0</v>
      </c>
      <c r="K25" s="558">
        <f>-IF(J$14&gt;0,J25/J$14*100,0)</f>
        <v>0</v>
      </c>
      <c r="L25" s="559">
        <f>-'4 LAINAT'!L51</f>
        <v>0</v>
      </c>
      <c r="M25" s="558">
        <f>-IF(L$14&gt;0,L25/L$14*100,0)</f>
        <v>0</v>
      </c>
      <c r="N25" s="559">
        <f>-'4 LAINAT'!O51</f>
        <v>0</v>
      </c>
      <c r="O25" s="558">
        <f>-IF(N$14&gt;0,N25/N$14*100,0)</f>
        <v>0</v>
      </c>
      <c r="P25" s="559">
        <f>-'4 LAINAT'!R51</f>
        <v>0</v>
      </c>
      <c r="Q25" s="558">
        <f>-IF(P$14&gt;0,P25/P$14*100,0)</f>
        <v>0</v>
      </c>
      <c r="S25" s="877"/>
      <c r="T25" s="878"/>
      <c r="U25" s="878"/>
      <c r="V25" s="878"/>
      <c r="W25" s="878"/>
      <c r="X25" s="878"/>
      <c r="Y25" s="879"/>
    </row>
    <row r="26" spans="3:25" ht="16" customHeight="1" thickTop="1" x14ac:dyDescent="0.35">
      <c r="C26" s="204" t="s">
        <v>302</v>
      </c>
      <c r="D26" s="241" t="s">
        <v>221</v>
      </c>
      <c r="E26" s="205"/>
      <c r="F26" s="554">
        <f>F22+F23+F24+F25</f>
        <v>0</v>
      </c>
      <c r="G26" s="560">
        <f>IF(F$14&gt;0,F26/F$14*100,0)</f>
        <v>0</v>
      </c>
      <c r="H26" s="554">
        <f>H22+H23+H24+H25</f>
        <v>0</v>
      </c>
      <c r="I26" s="560">
        <f>IF(H$14&gt;0,H26/H$14*100,0)</f>
        <v>0</v>
      </c>
      <c r="J26" s="554">
        <f>J22+J23+J24+J25</f>
        <v>0</v>
      </c>
      <c r="K26" s="560">
        <f>IF(J$11&gt;0,J26/J$14*100,0)</f>
        <v>0</v>
      </c>
      <c r="L26" s="554">
        <f>L22+L23+L24+L25</f>
        <v>0</v>
      </c>
      <c r="M26" s="560">
        <f>IF(L$11&gt;0,L26/L$14*100,0)</f>
        <v>0</v>
      </c>
      <c r="N26" s="554">
        <f>N22+N23+N24+N25</f>
        <v>0</v>
      </c>
      <c r="O26" s="560">
        <f>IF(N$11&gt;0,N26/N$14*100,0)</f>
        <v>0</v>
      </c>
      <c r="P26" s="554">
        <f>P22+P23+P24+P25</f>
        <v>0</v>
      </c>
      <c r="Q26" s="560">
        <f>IF(P$11&gt;0,P26/P$14*100,0)</f>
        <v>0</v>
      </c>
      <c r="S26" s="897"/>
      <c r="T26" s="878"/>
      <c r="U26" s="878"/>
      <c r="V26" s="878"/>
      <c r="W26" s="878"/>
      <c r="X26" s="878"/>
      <c r="Y26" s="879"/>
    </row>
    <row r="27" spans="3:25" ht="16" customHeight="1" x14ac:dyDescent="0.35">
      <c r="C27" s="561" t="s">
        <v>303</v>
      </c>
      <c r="D27" s="524" t="s">
        <v>69</v>
      </c>
      <c r="E27" s="203" t="s">
        <v>223</v>
      </c>
      <c r="F27" s="890"/>
      <c r="G27" s="556">
        <f>-IF(F$14&gt;0,F27/F$14*100,0)</f>
        <v>0</v>
      </c>
      <c r="H27" s="890"/>
      <c r="I27" s="556">
        <f>-IF(H$14&gt;0,H27/H$14*100,0)</f>
        <v>0</v>
      </c>
      <c r="J27" s="890">
        <f>-IF(J28*(J26+J29+J30+0.5*'5 KUSTANNUKSET'!G86)&lt;0,0,'2 &amp; 7 TULOSSUUNNITELMA'!J28*('2 &amp; 7 TULOSSUUNNITELMA'!J26+'2 &amp; 7 TULOSSUUNNITELMA'!J29+'2 &amp; 7 TULOSSUUNNITELMA'!J30+0.5*'5 KUSTANNUKSET'!G86))</f>
        <v>0</v>
      </c>
      <c r="K27" s="556">
        <f>-IF(J$14&gt;0,J27/J$14*100,0)</f>
        <v>0</v>
      </c>
      <c r="L27" s="890">
        <f>-IF(L28*(L26+L29+L30+0.5*'5 KUSTANNUKSET'!I86)&lt;0,0,'2 &amp; 7 TULOSSUUNNITELMA'!L28*('2 &amp; 7 TULOSSUUNNITELMA'!L26+'2 &amp; 7 TULOSSUUNNITELMA'!L29+'2 &amp; 7 TULOSSUUNNITELMA'!L30+0.5*'5 KUSTANNUKSET'!I86))</f>
        <v>0</v>
      </c>
      <c r="M27" s="556">
        <f>-IF(L$14&gt;0,L27/L$14*100,0)</f>
        <v>0</v>
      </c>
      <c r="N27" s="890">
        <f>-IF(N28*(N26+N29+N30+0.5*'5 KUSTANNUKSET'!K86)&lt;0,0,'2 &amp; 7 TULOSSUUNNITELMA'!N28*('2 &amp; 7 TULOSSUUNNITELMA'!N26+'2 &amp; 7 TULOSSUUNNITELMA'!N29+'2 &amp; 7 TULOSSUUNNITELMA'!N30+0.5*'5 KUSTANNUKSET'!K86))</f>
        <v>0</v>
      </c>
      <c r="O27" s="556">
        <f>-IF(N$14&gt;0,N27/N$14*100,0)</f>
        <v>0</v>
      </c>
      <c r="P27" s="890">
        <f>-IF(P28*(P26+P29+P30+0.5*'5 KUSTANNUKSET'!M86)&lt;0,0,'2 &amp; 7 TULOSSUUNNITELMA'!P28*('2 &amp; 7 TULOSSUUNNITELMA'!P26+'2 &amp; 7 TULOSSUUNNITELMA'!P29+'2 &amp; 7 TULOSSUUNNITELMA'!P30+0.5*'5 KUSTANNUKSET'!M86))</f>
        <v>0</v>
      </c>
      <c r="Q27" s="556">
        <f>-IF(P$14&gt;0,P27/P$14*100,0)</f>
        <v>0</v>
      </c>
      <c r="S27" s="877"/>
      <c r="T27" s="878"/>
      <c r="U27" s="878"/>
      <c r="V27" s="878"/>
      <c r="W27" s="878"/>
      <c r="X27" s="878"/>
      <c r="Y27" s="879"/>
    </row>
    <row r="28" spans="3:25" ht="16" customHeight="1" x14ac:dyDescent="0.35">
      <c r="C28" s="204"/>
      <c r="D28" s="652" t="s">
        <v>225</v>
      </c>
      <c r="E28" s="205"/>
      <c r="F28" s="686"/>
      <c r="G28" s="556"/>
      <c r="H28" s="685"/>
      <c r="I28" s="556"/>
      <c r="J28" s="893">
        <v>0.2</v>
      </c>
      <c r="K28" s="556"/>
      <c r="L28" s="893">
        <v>0.2</v>
      </c>
      <c r="M28" s="556"/>
      <c r="N28" s="893">
        <v>0.2</v>
      </c>
      <c r="O28" s="556"/>
      <c r="P28" s="893">
        <v>0.2</v>
      </c>
      <c r="Q28" s="556"/>
      <c r="S28" s="877"/>
      <c r="T28" s="878"/>
      <c r="U28" s="878"/>
      <c r="V28" s="878"/>
      <c r="W28" s="878"/>
      <c r="X28" s="878"/>
      <c r="Y28" s="879"/>
    </row>
    <row r="29" spans="3:25" ht="16" customHeight="1" x14ac:dyDescent="0.35">
      <c r="C29" s="200" t="s">
        <v>304</v>
      </c>
      <c r="D29" s="146" t="s">
        <v>226</v>
      </c>
      <c r="E29" s="202" t="s">
        <v>227</v>
      </c>
      <c r="F29" s="890"/>
      <c r="G29" s="556">
        <f>IF(F$14&gt;0,F29/F$14*100,0)</f>
        <v>0</v>
      </c>
      <c r="H29" s="890"/>
      <c r="I29" s="556">
        <f>IF(H$14&gt;0,H29/H$14*100,0)</f>
        <v>0</v>
      </c>
      <c r="J29" s="890">
        <v>0</v>
      </c>
      <c r="K29" s="556">
        <f>IF(J$14&gt;0,J29/J$14*100,0)</f>
        <v>0</v>
      </c>
      <c r="L29" s="890">
        <v>0</v>
      </c>
      <c r="M29" s="556">
        <f>IF(L$14&gt;0,L29/L$14*100,0)</f>
        <v>0</v>
      </c>
      <c r="N29" s="890">
        <v>0</v>
      </c>
      <c r="O29" s="556">
        <f>IF(N$14&gt;0,N29/N$14*100,0)</f>
        <v>0</v>
      </c>
      <c r="P29" s="890">
        <v>0</v>
      </c>
      <c r="Q29" s="556">
        <f>IF(P$14&gt;0,P29/P$14*100,0)</f>
        <v>0</v>
      </c>
      <c r="S29" s="877"/>
      <c r="T29" s="878"/>
      <c r="U29" s="878"/>
      <c r="V29" s="878"/>
      <c r="W29" s="878"/>
      <c r="X29" s="878"/>
      <c r="Y29" s="879"/>
    </row>
    <row r="30" spans="3:25" ht="16" customHeight="1" thickBot="1" x14ac:dyDescent="0.4">
      <c r="C30" s="532" t="s">
        <v>305</v>
      </c>
      <c r="D30" s="553" t="s">
        <v>228</v>
      </c>
      <c r="E30" s="242" t="s">
        <v>227</v>
      </c>
      <c r="F30" s="891"/>
      <c r="G30" s="558">
        <f>-IF(F$14&gt;0,F30/F$14*100,0)</f>
        <v>0</v>
      </c>
      <c r="H30" s="891"/>
      <c r="I30" s="558">
        <f>-IF(H$14&gt;0,H30/H$14*100,0)</f>
        <v>0</v>
      </c>
      <c r="J30" s="559">
        <f>-('3 TASE'!I61-'3 TASE'!H61)</f>
        <v>0</v>
      </c>
      <c r="K30" s="558">
        <f>-IF(J$14&gt;0,J30/J$14*100,0)</f>
        <v>0</v>
      </c>
      <c r="L30" s="559">
        <f>-('3 TASE'!J61-'3 TASE'!I61)</f>
        <v>0</v>
      </c>
      <c r="M30" s="558">
        <f>-IF(L$14&gt;0,L30/L$14*100,0)</f>
        <v>0</v>
      </c>
      <c r="N30" s="559">
        <f>-('3 TASE'!K61-'3 TASE'!J61)</f>
        <v>0</v>
      </c>
      <c r="O30" s="558">
        <f>-IF(N$14&gt;0,N30/N$14*100,0)</f>
        <v>0</v>
      </c>
      <c r="P30" s="559">
        <f>-('3 TASE'!L61-'3 TASE'!K61)</f>
        <v>0</v>
      </c>
      <c r="Q30" s="558">
        <f>-IF(P$14&gt;0,P30/P$14*100,0)</f>
        <v>0</v>
      </c>
      <c r="S30" s="877"/>
      <c r="T30" s="878"/>
      <c r="U30" s="878"/>
      <c r="V30" s="878"/>
      <c r="W30" s="878"/>
      <c r="X30" s="878"/>
      <c r="Y30" s="879"/>
    </row>
    <row r="31" spans="3:25" ht="16" customHeight="1" thickTop="1" thickBot="1" x14ac:dyDescent="0.4">
      <c r="C31" s="189" t="s">
        <v>306</v>
      </c>
      <c r="D31" s="562" t="s">
        <v>865</v>
      </c>
      <c r="E31" s="243"/>
      <c r="F31" s="563">
        <f>F26+F27+F29+F30</f>
        <v>0</v>
      </c>
      <c r="G31" s="564">
        <f>IF(F$14&gt;0,F31/F$14*100,0)</f>
        <v>0</v>
      </c>
      <c r="H31" s="563">
        <f>H26+H27+H29+H30</f>
        <v>0</v>
      </c>
      <c r="I31" s="564">
        <f>IF(H$14&gt;0,H31/H$14*100,0)</f>
        <v>0</v>
      </c>
      <c r="J31" s="563">
        <f>J26+J27+J29+J30</f>
        <v>0</v>
      </c>
      <c r="K31" s="564">
        <f>IF(J$11&gt;0,J31/J$14*100,0)</f>
        <v>0</v>
      </c>
      <c r="L31" s="563">
        <f>L26+L27+L29+L30</f>
        <v>0</v>
      </c>
      <c r="M31" s="564">
        <f>IF(L$11&gt;0,L31/L$14*100,0)</f>
        <v>0</v>
      </c>
      <c r="N31" s="563">
        <f>N26+N27+N29+N30</f>
        <v>0</v>
      </c>
      <c r="O31" s="564">
        <f>IF(N$11&gt;0,N31/N$14*100,0)</f>
        <v>0</v>
      </c>
      <c r="P31" s="563">
        <f>P26+P27+P29+P30</f>
        <v>0</v>
      </c>
      <c r="Q31" s="564">
        <f>IF(P$11&gt;0,P31/P$14*100,0)</f>
        <v>0</v>
      </c>
      <c r="S31" s="882"/>
      <c r="T31" s="883"/>
      <c r="U31" s="883"/>
      <c r="V31" s="883"/>
      <c r="W31" s="883"/>
      <c r="X31" s="883"/>
      <c r="Y31" s="884"/>
    </row>
    <row r="32" spans="3:25" ht="5.15" customHeight="1" x14ac:dyDescent="0.35"/>
    <row r="33" spans="3:17" ht="16" customHeight="1" x14ac:dyDescent="0.35">
      <c r="C33" s="147"/>
      <c r="D33" s="154" t="s">
        <v>558</v>
      </c>
      <c r="E33" s="144"/>
      <c r="F33" s="894">
        <v>365</v>
      </c>
      <c r="G33" s="895"/>
      <c r="H33" s="894">
        <v>335</v>
      </c>
      <c r="I33" s="895"/>
      <c r="J33" s="894">
        <v>335</v>
      </c>
      <c r="K33" s="895"/>
      <c r="L33" s="894">
        <v>335</v>
      </c>
      <c r="M33" s="895"/>
      <c r="N33" s="894">
        <v>335</v>
      </c>
      <c r="O33" s="895"/>
      <c r="P33" s="894">
        <v>335</v>
      </c>
      <c r="Q33" s="895"/>
    </row>
    <row r="35" spans="3:17" ht="16" customHeight="1" x14ac:dyDescent="0.35">
      <c r="D35" s="197" t="s">
        <v>578</v>
      </c>
    </row>
    <row r="36" spans="3:17" ht="16" customHeight="1" x14ac:dyDescent="0.35">
      <c r="D36" s="1012" t="s">
        <v>579</v>
      </c>
    </row>
    <row r="37" spans="3:17" ht="16" customHeight="1" x14ac:dyDescent="0.35">
      <c r="D37" s="1012"/>
    </row>
    <row r="38" spans="3:17" ht="16" customHeight="1" x14ac:dyDescent="0.35">
      <c r="D38" s="1012"/>
    </row>
  </sheetData>
  <sheetProtection algorithmName="SHA-512" hashValue="Wtvl1kA9wsj18UYPbCzjol0zHvZtWdmPXQTOOBej+oJhZR4tzNsyoMpW//HJup0Plek+4XbBD7RkTqkIUad4AA==" saltValue="CXqHI0ClfgGxXlnRyc8FEg==" spinCount="100000" sheet="1" objects="1" scenarios="1" formatCells="0" selectLockedCells="1"/>
  <mergeCells count="10">
    <mergeCell ref="H5:M5"/>
    <mergeCell ref="P5:Q5"/>
    <mergeCell ref="D36:D38"/>
    <mergeCell ref="S10:V10"/>
    <mergeCell ref="N7:O7"/>
    <mergeCell ref="P7:Q7"/>
    <mergeCell ref="F7:G7"/>
    <mergeCell ref="H7:I7"/>
    <mergeCell ref="J7:K7"/>
    <mergeCell ref="L7:M7"/>
  </mergeCells>
  <phoneticPr fontId="10" type="noConversion"/>
  <pageMargins left="0.7" right="0.7" top="0.75" bottom="0.75" header="0.3" footer="0.3"/>
  <ignoredErrors>
    <ignoredError sqref="F14 H14" formulaRange="1"/>
    <ignoredError sqref="F20:P20 Q16:Q33 F26:P26 G23 M23 G24 M24 O23 O24 F31:P33 G29 M29 O29 G15 G16 G17 G18 G19 F22:P22 G21 G25 F28:P28 G27 G30 I30:P30 I29:K29 I27 I25:P25 I24 I23 I21:P21 I19:P19 I18:P18 I17:P17 I16:P16 I15:P15 K27:P27 K23 K24" formula="1"/>
  </ignoredErrors>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F5B2D-9DC7-490A-9236-51DB30CA3FA6}">
  <sheetPr codeName="Taul12"/>
  <dimension ref="B2:V103"/>
  <sheetViews>
    <sheetView workbookViewId="0">
      <selection activeCell="G11" sqref="G11"/>
    </sheetView>
  </sheetViews>
  <sheetFormatPr defaultColWidth="8.7265625" defaultRowHeight="16" customHeight="1" x14ac:dyDescent="0.35"/>
  <cols>
    <col min="1" max="1" width="2.7265625" style="5" customWidth="1"/>
    <col min="2" max="2" width="10.7265625" style="5" customWidth="1"/>
    <col min="3" max="3" width="55.7265625" style="5" customWidth="1"/>
    <col min="4" max="4" width="10" style="141" bestFit="1" customWidth="1"/>
    <col min="5" max="5" width="1.7265625" style="141" customWidth="1"/>
    <col min="6" max="6" width="6.1796875" style="10" bestFit="1" customWidth="1"/>
    <col min="7" max="12" width="12.7265625" style="5" customWidth="1"/>
    <col min="13" max="13" width="8.7265625" style="5"/>
    <col min="14" max="17" width="10.7265625" style="5" customWidth="1"/>
    <col min="18" max="16384" width="8.7265625" style="5"/>
  </cols>
  <sheetData>
    <row r="2" spans="2:22" ht="16" customHeight="1" x14ac:dyDescent="0.5">
      <c r="B2" s="822" t="s">
        <v>626</v>
      </c>
      <c r="C2" s="565" t="s">
        <v>593</v>
      </c>
      <c r="D2" s="140"/>
      <c r="E2" s="140"/>
    </row>
    <row r="4" spans="2:22" ht="16" customHeight="1" x14ac:dyDescent="0.35">
      <c r="C4" s="14" t="s">
        <v>867</v>
      </c>
    </row>
    <row r="5" spans="2:22" ht="16" customHeight="1" x14ac:dyDescent="0.35">
      <c r="C5" s="3" t="str">
        <f>'1 INVESTOINTISUUNNITELMA'!D5</f>
        <v>Malliyritys Oy</v>
      </c>
      <c r="N5" s="740" t="s">
        <v>878</v>
      </c>
      <c r="O5" s="524"/>
      <c r="P5" s="524"/>
      <c r="Q5" s="524"/>
      <c r="R5" s="524"/>
      <c r="S5" s="524"/>
      <c r="T5" s="524"/>
      <c r="U5" s="524"/>
      <c r="V5" s="150"/>
    </row>
    <row r="6" spans="2:22" ht="16" customHeight="1" thickBot="1" x14ac:dyDescent="0.4">
      <c r="N6" s="736"/>
      <c r="O6" s="3"/>
      <c r="P6" s="3"/>
      <c r="Q6" s="3"/>
      <c r="R6" s="3"/>
      <c r="S6" s="3"/>
      <c r="T6" s="3"/>
      <c r="U6" s="3"/>
      <c r="V6" s="331"/>
    </row>
    <row r="7" spans="2:22" ht="16" customHeight="1" x14ac:dyDescent="0.35">
      <c r="C7" s="408"/>
      <c r="D7" s="416"/>
      <c r="E7" s="416"/>
      <c r="F7" s="417"/>
      <c r="G7" s="824" t="s">
        <v>561</v>
      </c>
      <c r="H7" s="824" t="s">
        <v>561</v>
      </c>
      <c r="I7" s="812" t="s">
        <v>447</v>
      </c>
      <c r="J7" s="812" t="s">
        <v>444</v>
      </c>
      <c r="K7" s="812" t="s">
        <v>445</v>
      </c>
      <c r="L7" s="816" t="s">
        <v>446</v>
      </c>
      <c r="N7" s="458"/>
      <c r="O7" s="737"/>
      <c r="P7" s="737"/>
      <c r="Q7" s="737"/>
      <c r="R7" s="737"/>
      <c r="S7" s="737"/>
      <c r="T7" s="737"/>
      <c r="U7" s="737"/>
      <c r="V7" s="459"/>
    </row>
    <row r="8" spans="2:22" ht="16" customHeight="1" x14ac:dyDescent="0.4">
      <c r="C8" s="415" t="s">
        <v>581</v>
      </c>
      <c r="D8" s="418"/>
      <c r="E8" s="418"/>
      <c r="F8" s="419"/>
      <c r="G8" s="817">
        <f>H8-1</f>
        <v>2024</v>
      </c>
      <c r="H8" s="817">
        <f>I8-1</f>
        <v>2025</v>
      </c>
      <c r="I8" s="817">
        <f>'1 INVESTOINTISUUNNITELMA'!E16</f>
        <v>2026</v>
      </c>
      <c r="J8" s="817">
        <f>I8+1</f>
        <v>2027</v>
      </c>
      <c r="K8" s="817">
        <f t="shared" ref="K8:L8" si="0">J8+1</f>
        <v>2028</v>
      </c>
      <c r="L8" s="818">
        <f t="shared" si="0"/>
        <v>2029</v>
      </c>
      <c r="N8" s="738" t="s">
        <v>581</v>
      </c>
      <c r="O8" s="411"/>
      <c r="P8" s="411"/>
      <c r="Q8" s="411"/>
      <c r="R8" s="411"/>
      <c r="S8" s="411"/>
      <c r="T8" s="411"/>
      <c r="U8" s="411"/>
      <c r="V8" s="446"/>
    </row>
    <row r="9" spans="2:22" ht="16" customHeight="1" x14ac:dyDescent="0.35">
      <c r="C9" s="412"/>
      <c r="D9" s="341"/>
      <c r="E9" s="341"/>
      <c r="F9" s="341"/>
      <c r="G9" s="819" t="s">
        <v>559</v>
      </c>
      <c r="H9" s="819" t="s">
        <v>559</v>
      </c>
      <c r="I9" s="819" t="s">
        <v>559</v>
      </c>
      <c r="J9" s="819" t="s">
        <v>559</v>
      </c>
      <c r="K9" s="819" t="s">
        <v>559</v>
      </c>
      <c r="L9" s="820" t="s">
        <v>559</v>
      </c>
      <c r="N9" s="739"/>
      <c r="O9" s="341"/>
      <c r="P9" s="341"/>
      <c r="Q9" s="341"/>
      <c r="R9" s="341"/>
      <c r="S9" s="341"/>
      <c r="T9" s="341"/>
      <c r="U9" s="341"/>
      <c r="V9" s="409"/>
    </row>
    <row r="10" spans="2:22" ht="16" customHeight="1" x14ac:dyDescent="0.35">
      <c r="C10" s="321" t="s">
        <v>230</v>
      </c>
      <c r="D10" s="322"/>
      <c r="E10" s="322"/>
      <c r="F10" s="323"/>
      <c r="G10" s="152">
        <f>G11+G15+G31</f>
        <v>0</v>
      </c>
      <c r="H10" s="152">
        <f>H11+H15+H31</f>
        <v>0</v>
      </c>
      <c r="I10" s="152">
        <f>I11+I15+I31</f>
        <v>0</v>
      </c>
      <c r="J10" s="152">
        <f t="shared" ref="J10:L10" si="1">J11+J15+J31</f>
        <v>0</v>
      </c>
      <c r="K10" s="152">
        <f t="shared" si="1"/>
        <v>0</v>
      </c>
      <c r="L10" s="324">
        <f t="shared" si="1"/>
        <v>0</v>
      </c>
      <c r="N10" s="51"/>
      <c r="R10" s="878"/>
      <c r="S10" s="878"/>
      <c r="T10" s="878"/>
      <c r="U10" s="878"/>
      <c r="V10" s="879"/>
    </row>
    <row r="11" spans="2:22" ht="16" customHeight="1" x14ac:dyDescent="0.35">
      <c r="C11" s="195" t="s">
        <v>231</v>
      </c>
      <c r="D11" s="246"/>
      <c r="E11" s="246"/>
      <c r="F11" s="166"/>
      <c r="G11" s="898"/>
      <c r="H11" s="898"/>
      <c r="I11" s="162">
        <f>I12-I13-I14+H11</f>
        <v>0</v>
      </c>
      <c r="J11" s="162">
        <f>J12-J13-J14+I11</f>
        <v>0</v>
      </c>
      <c r="K11" s="162">
        <f t="shared" ref="K11:L11" si="2">K12-K13-K14+J11</f>
        <v>0</v>
      </c>
      <c r="L11" s="245">
        <f t="shared" si="2"/>
        <v>0</v>
      </c>
      <c r="N11" s="51"/>
      <c r="R11" s="878"/>
      <c r="S11" s="878"/>
      <c r="T11" s="878"/>
      <c r="U11" s="878"/>
      <c r="V11" s="879"/>
    </row>
    <row r="12" spans="2:22" ht="16" customHeight="1" x14ac:dyDescent="0.35">
      <c r="C12" s="249" t="s">
        <v>886</v>
      </c>
      <c r="D12" s="247"/>
      <c r="E12" s="247"/>
      <c r="F12" s="166" t="s">
        <v>222</v>
      </c>
      <c r="G12" s="661"/>
      <c r="H12" s="661"/>
      <c r="I12" s="151">
        <f>'1 INVESTOINTISUUNNITELMA'!E35/(1+'1 INVESTOINTISUUNNITELMA'!E36)*(1-'1 INVESTOINTISUUNNITELMA'!E37)</f>
        <v>0</v>
      </c>
      <c r="J12" s="151">
        <f>'1 INVESTOINTISUUNNITELMA'!F35/(1+'1 INVESTOINTISUUNNITELMA'!F36)*(1-'1 INVESTOINTISUUNNITELMA'!F37)</f>
        <v>0</v>
      </c>
      <c r="K12" s="151">
        <f>'1 INVESTOINTISUUNNITELMA'!G35/(1+'1 INVESTOINTISUUNNITELMA'!G36)*(1-'1 INVESTOINTISUUNNITELMA'!G37)</f>
        <v>0</v>
      </c>
      <c r="L12" s="177">
        <f>'1 INVESTOINTISUUNNITELMA'!H35/(1+'1 INVESTOINTISUUNNITELMA'!H36)*(1-'1 INVESTOINTISUUNNITELMA'!H37)</f>
        <v>0</v>
      </c>
      <c r="N12" s="1017" t="s">
        <v>580</v>
      </c>
      <c r="O12" s="1018"/>
      <c r="P12" s="1018"/>
      <c r="Q12" s="1018"/>
      <c r="R12" s="878"/>
      <c r="S12" s="878"/>
      <c r="T12" s="878"/>
      <c r="U12" s="878"/>
      <c r="V12" s="879"/>
    </row>
    <row r="13" spans="2:22" ht="16" customHeight="1" x14ac:dyDescent="0.35">
      <c r="C13" s="249" t="s">
        <v>887</v>
      </c>
      <c r="D13" s="247"/>
      <c r="E13" s="247"/>
      <c r="F13" s="166" t="s">
        <v>223</v>
      </c>
      <c r="G13" s="661"/>
      <c r="H13" s="661"/>
      <c r="I13" s="864"/>
      <c r="J13" s="864"/>
      <c r="K13" s="864"/>
      <c r="L13" s="899"/>
      <c r="N13" s="343">
        <f>I8</f>
        <v>2026</v>
      </c>
      <c r="O13" s="343">
        <f>J8</f>
        <v>2027</v>
      </c>
      <c r="P13" s="343">
        <f>K8</f>
        <v>2028</v>
      </c>
      <c r="Q13" s="343">
        <f>L8</f>
        <v>2029</v>
      </c>
      <c r="R13" s="878"/>
      <c r="S13" s="878"/>
      <c r="T13" s="878"/>
      <c r="U13" s="878"/>
      <c r="V13" s="879"/>
    </row>
    <row r="14" spans="2:22" ht="16" customHeight="1" x14ac:dyDescent="0.35">
      <c r="C14" s="251" t="s">
        <v>888</v>
      </c>
      <c r="D14" s="164" t="s">
        <v>238</v>
      </c>
      <c r="E14" s="164"/>
      <c r="F14" s="900">
        <v>0.2</v>
      </c>
      <c r="G14" s="661"/>
      <c r="H14" s="661"/>
      <c r="I14" s="864">
        <f>(H11+I12*N14/12-I13)*$F$14</f>
        <v>0</v>
      </c>
      <c r="J14" s="864">
        <f>(I11+J12*O14/12-J13)*$F$14</f>
        <v>0</v>
      </c>
      <c r="K14" s="864">
        <f>(J11+K12*P14/12-K13)*$F$14</f>
        <v>0</v>
      </c>
      <c r="L14" s="899">
        <f>(K11+L12*Q14/12-L13)*$F$14</f>
        <v>0</v>
      </c>
      <c r="N14" s="901">
        <v>12</v>
      </c>
      <c r="O14" s="901">
        <v>12</v>
      </c>
      <c r="P14" s="901">
        <v>12</v>
      </c>
      <c r="Q14" s="901">
        <v>12</v>
      </c>
      <c r="R14" s="878"/>
      <c r="S14" s="878"/>
      <c r="T14" s="878"/>
      <c r="U14" s="878"/>
      <c r="V14" s="879"/>
    </row>
    <row r="15" spans="2:22" ht="16" customHeight="1" x14ac:dyDescent="0.35">
      <c r="C15" s="244" t="s">
        <v>232</v>
      </c>
      <c r="D15" s="163"/>
      <c r="E15" s="163"/>
      <c r="F15" s="155"/>
      <c r="G15" s="162">
        <f t="shared" ref="G15" si="3">G16+G19+G23+G27</f>
        <v>0</v>
      </c>
      <c r="H15" s="162">
        <f>H16+H19+H23+H27</f>
        <v>0</v>
      </c>
      <c r="I15" s="162">
        <f>I16+I19+I23+I27</f>
        <v>0</v>
      </c>
      <c r="J15" s="162">
        <f t="shared" ref="J15:L15" si="4">J16+J19+J23+J27</f>
        <v>0</v>
      </c>
      <c r="K15" s="162">
        <f t="shared" si="4"/>
        <v>0</v>
      </c>
      <c r="L15" s="245">
        <f t="shared" si="4"/>
        <v>0</v>
      </c>
      <c r="N15" s="877"/>
      <c r="O15" s="878"/>
      <c r="P15" s="878"/>
      <c r="Q15" s="878"/>
      <c r="R15" s="878"/>
      <c r="S15" s="878"/>
      <c r="T15" s="878"/>
      <c r="U15" s="878"/>
      <c r="V15" s="879"/>
    </row>
    <row r="16" spans="2:22" ht="16" customHeight="1" x14ac:dyDescent="0.35">
      <c r="C16" s="248" t="s">
        <v>233</v>
      </c>
      <c r="D16" s="246"/>
      <c r="E16" s="246"/>
      <c r="F16" s="166"/>
      <c r="G16" s="898"/>
      <c r="H16" s="898"/>
      <c r="I16" s="162">
        <f>H16+I17-I18</f>
        <v>0</v>
      </c>
      <c r="J16" s="162">
        <f>I16+J17-J18</f>
        <v>0</v>
      </c>
      <c r="K16" s="162">
        <f>J16+K17-K18</f>
        <v>0</v>
      </c>
      <c r="L16" s="245">
        <f>K16+L17-L18</f>
        <v>0</v>
      </c>
      <c r="N16" s="877"/>
      <c r="O16" s="878"/>
      <c r="P16" s="878"/>
      <c r="Q16" s="878"/>
      <c r="R16" s="878"/>
      <c r="S16" s="878"/>
      <c r="T16" s="878"/>
      <c r="U16" s="878"/>
      <c r="V16" s="879"/>
    </row>
    <row r="17" spans="3:22" ht="16" customHeight="1" x14ac:dyDescent="0.35">
      <c r="C17" s="249" t="s">
        <v>886</v>
      </c>
      <c r="D17" s="247"/>
      <c r="E17" s="247"/>
      <c r="F17" s="166" t="s">
        <v>222</v>
      </c>
      <c r="G17" s="661"/>
      <c r="H17" s="661"/>
      <c r="I17" s="151">
        <f>'1 INVESTOINTISUUNNITELMA'!E17*(1-'1 INVESTOINTISUUNNITELMA'!E19)</f>
        <v>0</v>
      </c>
      <c r="J17" s="151">
        <f>'1 INVESTOINTISUUNNITELMA'!F17*(1-'1 INVESTOINTISUUNNITELMA'!F19)</f>
        <v>0</v>
      </c>
      <c r="K17" s="151">
        <f>'1 INVESTOINTISUUNNITELMA'!G17*(1-'1 INVESTOINTISUUNNITELMA'!G19)</f>
        <v>0</v>
      </c>
      <c r="L17" s="177">
        <f>'1 INVESTOINTISUUNNITELMA'!H17*(1-'1 INVESTOINTISUUNNITELMA'!H19)</f>
        <v>0</v>
      </c>
      <c r="N17" s="877"/>
      <c r="O17" s="878"/>
      <c r="P17" s="878"/>
      <c r="Q17" s="878"/>
      <c r="R17" s="878"/>
      <c r="S17" s="878"/>
      <c r="T17" s="878"/>
      <c r="U17" s="878"/>
      <c r="V17" s="879"/>
    </row>
    <row r="18" spans="3:22" ht="16" customHeight="1" x14ac:dyDescent="0.35">
      <c r="C18" s="249" t="s">
        <v>887</v>
      </c>
      <c r="D18" s="247"/>
      <c r="E18" s="247"/>
      <c r="F18" s="166" t="s">
        <v>223</v>
      </c>
      <c r="G18" s="661"/>
      <c r="H18" s="661"/>
      <c r="I18" s="864"/>
      <c r="J18" s="864"/>
      <c r="K18" s="864"/>
      <c r="L18" s="899"/>
      <c r="N18" s="877"/>
      <c r="O18" s="878"/>
      <c r="P18" s="878"/>
      <c r="Q18" s="878"/>
      <c r="R18" s="878"/>
      <c r="S18" s="878"/>
      <c r="T18" s="878"/>
      <c r="U18" s="878"/>
      <c r="V18" s="879"/>
    </row>
    <row r="19" spans="3:22" ht="16" customHeight="1" x14ac:dyDescent="0.35">
      <c r="C19" s="248" t="s">
        <v>234</v>
      </c>
      <c r="D19" s="246"/>
      <c r="E19" s="246"/>
      <c r="F19" s="167"/>
      <c r="G19" s="898"/>
      <c r="H19" s="898"/>
      <c r="I19" s="162">
        <f>H19+I20-I21-I22</f>
        <v>0</v>
      </c>
      <c r="J19" s="162">
        <f>J20-J21-J22+I19</f>
        <v>0</v>
      </c>
      <c r="K19" s="162">
        <f t="shared" ref="K19:L19" si="5">K20-K21-K22+J19</f>
        <v>0</v>
      </c>
      <c r="L19" s="245">
        <f t="shared" si="5"/>
        <v>0</v>
      </c>
      <c r="N19" s="877"/>
      <c r="O19" s="878"/>
      <c r="P19" s="878"/>
      <c r="Q19" s="878"/>
      <c r="R19" s="878"/>
      <c r="S19" s="878"/>
      <c r="T19" s="878"/>
      <c r="U19" s="878"/>
      <c r="V19" s="879"/>
    </row>
    <row r="20" spans="3:22" ht="16" customHeight="1" x14ac:dyDescent="0.35">
      <c r="C20" s="249" t="s">
        <v>886</v>
      </c>
      <c r="D20" s="247"/>
      <c r="E20" s="247"/>
      <c r="F20" s="166" t="s">
        <v>222</v>
      </c>
      <c r="G20" s="661"/>
      <c r="H20" s="661"/>
      <c r="I20" s="151">
        <f>('1 INVESTOINTISUUNNITELMA'!E20/(1+'1 INVESTOINTISUUNNITELMA'!E22)*(1-'1 INVESTOINTISUUNNITELMA'!E23))+('1 INVESTOINTISUUNNITELMA'!E24*(1-'1 INVESTOINTISUUNNITELMA'!E26))</f>
        <v>0</v>
      </c>
      <c r="J20" s="151">
        <f>('1 INVESTOINTISUUNNITELMA'!F20/(1+'1 INVESTOINTISUUNNITELMA'!F22)*(1-'1 INVESTOINTISUUNNITELMA'!F23))+('1 INVESTOINTISUUNNITELMA'!F24*(1-'1 INVESTOINTISUUNNITELMA'!F26))</f>
        <v>0</v>
      </c>
      <c r="K20" s="151">
        <f>('1 INVESTOINTISUUNNITELMA'!G20/(1+'1 INVESTOINTISUUNNITELMA'!G22)*(1-'1 INVESTOINTISUUNNITELMA'!G23))+('1 INVESTOINTISUUNNITELMA'!G24*(1-'1 INVESTOINTISUUNNITELMA'!G26))</f>
        <v>0</v>
      </c>
      <c r="L20" s="177">
        <f>('1 INVESTOINTISUUNNITELMA'!H20/(1+'1 INVESTOINTISUUNNITELMA'!H22)*(1-'1 INVESTOINTISUUNNITELMA'!H23))+('1 INVESTOINTISUUNNITELMA'!H24*(1-'1 INVESTOINTISUUNNITELMA'!H26))</f>
        <v>0</v>
      </c>
      <c r="N20" s="1017" t="s">
        <v>580</v>
      </c>
      <c r="O20" s="1018"/>
      <c r="P20" s="1018"/>
      <c r="Q20" s="1018"/>
      <c r="R20" s="878"/>
      <c r="S20" s="878"/>
      <c r="T20" s="878"/>
      <c r="U20" s="878"/>
      <c r="V20" s="879"/>
    </row>
    <row r="21" spans="3:22" ht="16" customHeight="1" x14ac:dyDescent="0.35">
      <c r="C21" s="249" t="s">
        <v>887</v>
      </c>
      <c r="D21" s="247"/>
      <c r="E21" s="247"/>
      <c r="F21" s="166" t="s">
        <v>223</v>
      </c>
      <c r="G21" s="661"/>
      <c r="H21" s="661"/>
      <c r="I21" s="864"/>
      <c r="J21" s="864"/>
      <c r="K21" s="864"/>
      <c r="L21" s="899"/>
      <c r="N21" s="343">
        <f>I8</f>
        <v>2026</v>
      </c>
      <c r="O21" s="343">
        <f>J8</f>
        <v>2027</v>
      </c>
      <c r="P21" s="343">
        <f>K8</f>
        <v>2028</v>
      </c>
      <c r="Q21" s="343">
        <f>L8</f>
        <v>2029</v>
      </c>
      <c r="R21" s="878"/>
      <c r="S21" s="878"/>
      <c r="T21" s="878"/>
      <c r="U21" s="878"/>
      <c r="V21" s="879"/>
    </row>
    <row r="22" spans="3:22" ht="16" customHeight="1" x14ac:dyDescent="0.35">
      <c r="C22" s="249" t="s">
        <v>888</v>
      </c>
      <c r="D22" s="250" t="s">
        <v>238</v>
      </c>
      <c r="E22" s="250"/>
      <c r="F22" s="900">
        <v>7.0000000000000007E-2</v>
      </c>
      <c r="G22" s="661"/>
      <c r="H22" s="661"/>
      <c r="I22" s="864">
        <f>(H19+I20*N22/12-I21)*$F$22</f>
        <v>0</v>
      </c>
      <c r="J22" s="864">
        <f>(I19+J20*O22/12-J21)*$F$22</f>
        <v>0</v>
      </c>
      <c r="K22" s="864">
        <f>(J19+K20*P22/12-K21)*$F$22</f>
        <v>0</v>
      </c>
      <c r="L22" s="899">
        <f>(K19+L20*Q22/12-L21)*$F$22</f>
        <v>0</v>
      </c>
      <c r="N22" s="901">
        <v>12</v>
      </c>
      <c r="O22" s="901">
        <v>12</v>
      </c>
      <c r="P22" s="901">
        <v>12</v>
      </c>
      <c r="Q22" s="901">
        <v>12</v>
      </c>
      <c r="R22" s="878"/>
      <c r="S22" s="878"/>
      <c r="T22" s="878"/>
      <c r="U22" s="878"/>
      <c r="V22" s="879"/>
    </row>
    <row r="23" spans="3:22" ht="16" customHeight="1" x14ac:dyDescent="0.35">
      <c r="C23" s="248" t="s">
        <v>235</v>
      </c>
      <c r="D23" s="246"/>
      <c r="E23" s="246"/>
      <c r="F23" s="166"/>
      <c r="G23" s="898"/>
      <c r="H23" s="898"/>
      <c r="I23" s="162">
        <f>H23+I24-I25-I26</f>
        <v>0</v>
      </c>
      <c r="J23" s="162">
        <f>J24-J25-J26+I23</f>
        <v>0</v>
      </c>
      <c r="K23" s="162">
        <f t="shared" ref="K23:L23" si="6">K24-K25-K26+J23</f>
        <v>0</v>
      </c>
      <c r="L23" s="245">
        <f t="shared" si="6"/>
        <v>0</v>
      </c>
      <c r="N23" s="51"/>
      <c r="R23" s="878"/>
      <c r="S23" s="878"/>
      <c r="T23" s="878"/>
      <c r="U23" s="878"/>
      <c r="V23" s="879"/>
    </row>
    <row r="24" spans="3:22" ht="16" customHeight="1" x14ac:dyDescent="0.35">
      <c r="C24" s="249" t="s">
        <v>886</v>
      </c>
      <c r="D24" s="247"/>
      <c r="E24" s="247"/>
      <c r="F24" s="166" t="s">
        <v>222</v>
      </c>
      <c r="G24" s="661"/>
      <c r="H24" s="661"/>
      <c r="I24" s="151">
        <f>((('1 INVESTOINTISUUNNITELMA'!E27-'1 INVESTOINTISUUNNITELMA'!E58)/(1+'1 INVESTOINTISUUNNITELMA'!E28)*(1-'1 INVESTOINTISUUNNITELMA'!E29)-'1 INVESTOINTISUUNNITELMA'!E58))+((('1 INVESTOINTISUUNNITELMA'!E30*(1-'1 INVESTOINTISUUNNITELMA'!E31)+('1 INVESTOINTISUUNNITELMA'!E59*'1 INVESTOINTISUUNNITELMA'!E31))))</f>
        <v>0</v>
      </c>
      <c r="J24" s="151">
        <f>((('1 INVESTOINTISUUNNITELMA'!F27-'1 INVESTOINTISUUNNITELMA'!F58)/(1+'1 INVESTOINTISUUNNITELMA'!F28)*(1-'1 INVESTOINTISUUNNITELMA'!F29)-'1 INVESTOINTISUUNNITELMA'!F58))+((('1 INVESTOINTISUUNNITELMA'!F30*(1-'1 INVESTOINTISUUNNITELMA'!F31)+('1 INVESTOINTISUUNNITELMA'!F59*'1 INVESTOINTISUUNNITELMA'!F31))))</f>
        <v>0</v>
      </c>
      <c r="K24" s="151">
        <f>((('1 INVESTOINTISUUNNITELMA'!G27-'1 INVESTOINTISUUNNITELMA'!G58)/(1+'1 INVESTOINTISUUNNITELMA'!G28)*(1-'1 INVESTOINTISUUNNITELMA'!G29)-'1 INVESTOINTISUUNNITELMA'!G58))+((('1 INVESTOINTISUUNNITELMA'!G30*(1-'1 INVESTOINTISUUNNITELMA'!G31)+('1 INVESTOINTISUUNNITELMA'!G59*'1 INVESTOINTISUUNNITELMA'!G31))))</f>
        <v>0</v>
      </c>
      <c r="L24" s="177">
        <f>((('1 INVESTOINTISUUNNITELMA'!H27-'1 INVESTOINTISUUNNITELMA'!H58)/(1+'1 INVESTOINTISUUNNITELMA'!H28)*(1-'1 INVESTOINTISUUNNITELMA'!H29)-'1 INVESTOINTISUUNNITELMA'!H58))+((('1 INVESTOINTISUUNNITELMA'!H30*(1-'1 INVESTOINTISUUNNITELMA'!H31)+('1 INVESTOINTISUUNNITELMA'!H59*'1 INVESTOINTISUUNNITELMA'!H31))))</f>
        <v>0</v>
      </c>
      <c r="N24" s="1017" t="s">
        <v>580</v>
      </c>
      <c r="O24" s="1018"/>
      <c r="P24" s="1018"/>
      <c r="Q24" s="1018"/>
      <c r="R24" s="878"/>
      <c r="S24" s="878"/>
      <c r="T24" s="878"/>
      <c r="U24" s="878"/>
      <c r="V24" s="879"/>
    </row>
    <row r="25" spans="3:22" ht="16" customHeight="1" x14ac:dyDescent="0.35">
      <c r="C25" s="249" t="s">
        <v>887</v>
      </c>
      <c r="D25" s="247"/>
      <c r="E25" s="247"/>
      <c r="F25" s="166" t="s">
        <v>223</v>
      </c>
      <c r="G25" s="661"/>
      <c r="H25" s="661"/>
      <c r="I25" s="864"/>
      <c r="J25" s="864"/>
      <c r="K25" s="864"/>
      <c r="L25" s="899"/>
      <c r="N25" s="343">
        <f>I8</f>
        <v>2026</v>
      </c>
      <c r="O25" s="343">
        <f>J8</f>
        <v>2027</v>
      </c>
      <c r="P25" s="343">
        <f>K8</f>
        <v>2028</v>
      </c>
      <c r="Q25" s="343">
        <f>L8</f>
        <v>2029</v>
      </c>
      <c r="R25" s="878"/>
      <c r="S25" s="878"/>
      <c r="T25" s="878"/>
      <c r="U25" s="878"/>
      <c r="V25" s="879"/>
    </row>
    <row r="26" spans="3:22" ht="16" customHeight="1" x14ac:dyDescent="0.35">
      <c r="C26" s="249" t="s">
        <v>888</v>
      </c>
      <c r="D26" s="250" t="s">
        <v>238</v>
      </c>
      <c r="E26" s="250"/>
      <c r="F26" s="900">
        <v>0.2</v>
      </c>
      <c r="G26" s="661"/>
      <c r="H26" s="661"/>
      <c r="I26" s="864">
        <f>(H23+I24*N26/12-I25)*$F$26</f>
        <v>0</v>
      </c>
      <c r="J26" s="864">
        <f>(I23+J24*O26/12-J25)*$F$26</f>
        <v>0</v>
      </c>
      <c r="K26" s="864">
        <f>(J23+K24*P26/12-K25)*$F$26</f>
        <v>0</v>
      </c>
      <c r="L26" s="899">
        <f>(K23+L24*Q26/12-L25)*$F$26</f>
        <v>0</v>
      </c>
      <c r="N26" s="901">
        <v>12</v>
      </c>
      <c r="O26" s="901">
        <v>12</v>
      </c>
      <c r="P26" s="901">
        <v>12</v>
      </c>
      <c r="Q26" s="901">
        <v>12</v>
      </c>
      <c r="R26" s="878"/>
      <c r="S26" s="878"/>
      <c r="T26" s="878"/>
      <c r="U26" s="878"/>
      <c r="V26" s="879"/>
    </row>
    <row r="27" spans="3:22" ht="16" customHeight="1" x14ac:dyDescent="0.35">
      <c r="C27" s="248" t="s">
        <v>236</v>
      </c>
      <c r="D27" s="246"/>
      <c r="E27" s="246"/>
      <c r="F27" s="167"/>
      <c r="G27" s="898"/>
      <c r="H27" s="898"/>
      <c r="I27" s="162">
        <f>H27+I28-I29-I30</f>
        <v>0</v>
      </c>
      <c r="J27" s="162">
        <f>J28-J29-J30+I27</f>
        <v>0</v>
      </c>
      <c r="K27" s="162">
        <f t="shared" ref="K27:L27" si="7">K28-K29-K30+J27</f>
        <v>0</v>
      </c>
      <c r="L27" s="245">
        <f t="shared" si="7"/>
        <v>0</v>
      </c>
      <c r="N27" s="51"/>
      <c r="R27" s="878"/>
      <c r="S27" s="878"/>
      <c r="T27" s="878"/>
      <c r="U27" s="878"/>
      <c r="V27" s="879"/>
    </row>
    <row r="28" spans="3:22" ht="16" customHeight="1" x14ac:dyDescent="0.35">
      <c r="C28" s="249" t="s">
        <v>886</v>
      </c>
      <c r="D28" s="247"/>
      <c r="E28" s="247"/>
      <c r="F28" s="166" t="s">
        <v>222</v>
      </c>
      <c r="G28" s="661"/>
      <c r="H28" s="661"/>
      <c r="I28" s="151">
        <f>'1 INVESTOINTISUUNNITELMA'!E32/(1+'1 INVESTOINTISUUNNITELMA'!E33)*(1-'1 INVESTOINTISUUNNITELMA'!E34)</f>
        <v>0</v>
      </c>
      <c r="J28" s="151">
        <f>'1 INVESTOINTISUUNNITELMA'!F32/(1+'1 INVESTOINTISUUNNITELMA'!F33)*(1-'1 INVESTOINTISUUNNITELMA'!F34)</f>
        <v>0</v>
      </c>
      <c r="K28" s="151">
        <f>'1 INVESTOINTISUUNNITELMA'!G32/(1+'1 INVESTOINTISUUNNITELMA'!G33)*(1-'1 INVESTOINTISUUNNITELMA'!G34)</f>
        <v>0</v>
      </c>
      <c r="L28" s="177">
        <f>'1 INVESTOINTISUUNNITELMA'!H32/(1+'1 INVESTOINTISUUNNITELMA'!H33)*(1-'1 INVESTOINTISUUNNITELMA'!H34)</f>
        <v>0</v>
      </c>
      <c r="N28" s="1017" t="s">
        <v>580</v>
      </c>
      <c r="O28" s="1018"/>
      <c r="P28" s="1018"/>
      <c r="Q28" s="1018"/>
      <c r="R28" s="878"/>
      <c r="S28" s="878"/>
      <c r="T28" s="878"/>
      <c r="U28" s="878"/>
      <c r="V28" s="879"/>
    </row>
    <row r="29" spans="3:22" ht="16" customHeight="1" x14ac:dyDescent="0.35">
      <c r="C29" s="249" t="s">
        <v>887</v>
      </c>
      <c r="D29" s="247"/>
      <c r="E29" s="247"/>
      <c r="F29" s="166" t="s">
        <v>223</v>
      </c>
      <c r="G29" s="661"/>
      <c r="H29" s="661"/>
      <c r="I29" s="864"/>
      <c r="J29" s="864"/>
      <c r="K29" s="864"/>
      <c r="L29" s="899"/>
      <c r="N29" s="343">
        <f>I8</f>
        <v>2026</v>
      </c>
      <c r="O29" s="343">
        <f>J8</f>
        <v>2027</v>
      </c>
      <c r="P29" s="343">
        <f>K8</f>
        <v>2028</v>
      </c>
      <c r="Q29" s="343">
        <f>L8</f>
        <v>2029</v>
      </c>
      <c r="R29" s="878"/>
      <c r="S29" s="878"/>
      <c r="T29" s="878"/>
      <c r="U29" s="878"/>
      <c r="V29" s="879"/>
    </row>
    <row r="30" spans="3:22" ht="16" customHeight="1" x14ac:dyDescent="0.35">
      <c r="C30" s="249" t="s">
        <v>888</v>
      </c>
      <c r="D30" s="164" t="s">
        <v>238</v>
      </c>
      <c r="E30" s="164"/>
      <c r="F30" s="900">
        <v>0.2</v>
      </c>
      <c r="G30" s="661"/>
      <c r="H30" s="661"/>
      <c r="I30" s="864">
        <f>(H27+I28*N30/12-I29)*$F$30</f>
        <v>0</v>
      </c>
      <c r="J30" s="864">
        <f>(I27+J28*O30/12-J29)*$F$30</f>
        <v>0</v>
      </c>
      <c r="K30" s="864">
        <f>(J27+K28*P30/12-K29)*$F$30</f>
        <v>0</v>
      </c>
      <c r="L30" s="899">
        <f>(K27+L28*Q30/12-L29)*$F$30</f>
        <v>0</v>
      </c>
      <c r="N30" s="901">
        <v>12</v>
      </c>
      <c r="O30" s="901">
        <v>12</v>
      </c>
      <c r="P30" s="901">
        <v>12</v>
      </c>
      <c r="Q30" s="901">
        <v>12</v>
      </c>
      <c r="R30" s="878"/>
      <c r="S30" s="878"/>
      <c r="T30" s="878"/>
      <c r="U30" s="878"/>
      <c r="V30" s="879"/>
    </row>
    <row r="31" spans="3:22" ht="16" customHeight="1" x14ac:dyDescent="0.35">
      <c r="C31" s="244" t="s">
        <v>237</v>
      </c>
      <c r="D31" s="163"/>
      <c r="E31" s="163"/>
      <c r="F31" s="168"/>
      <c r="G31" s="898"/>
      <c r="H31" s="898"/>
      <c r="I31" s="162">
        <f>H31+I32-I33</f>
        <v>0</v>
      </c>
      <c r="J31" s="162">
        <f>I31+J32-J33</f>
        <v>0</v>
      </c>
      <c r="K31" s="162">
        <f t="shared" ref="K31:L31" si="8">J31+K32-K33</f>
        <v>0</v>
      </c>
      <c r="L31" s="245">
        <f t="shared" si="8"/>
        <v>0</v>
      </c>
      <c r="N31" s="877"/>
      <c r="O31" s="878"/>
      <c r="P31" s="878"/>
      <c r="Q31" s="878"/>
      <c r="R31" s="878"/>
      <c r="S31" s="878"/>
      <c r="T31" s="878"/>
      <c r="U31" s="878"/>
      <c r="V31" s="879"/>
    </row>
    <row r="32" spans="3:22" ht="16" customHeight="1" x14ac:dyDescent="0.35">
      <c r="C32" s="249" t="s">
        <v>886</v>
      </c>
      <c r="D32" s="247"/>
      <c r="E32" s="247"/>
      <c r="F32" s="166" t="s">
        <v>222</v>
      </c>
      <c r="G32" s="661"/>
      <c r="H32" s="661"/>
      <c r="I32" s="864">
        <f>'1 INVESTOINTISUUNNITELMA'!E38</f>
        <v>0</v>
      </c>
      <c r="J32" s="864">
        <f>'1 INVESTOINTISUUNNITELMA'!F38</f>
        <v>0</v>
      </c>
      <c r="K32" s="864">
        <f>'1 INVESTOINTISUUNNITELMA'!G38</f>
        <v>0</v>
      </c>
      <c r="L32" s="899">
        <f>'1 INVESTOINTISUUNNITELMA'!H38</f>
        <v>0</v>
      </c>
      <c r="N32" s="877"/>
      <c r="O32" s="878"/>
      <c r="P32" s="878"/>
      <c r="Q32" s="878"/>
      <c r="R32" s="878"/>
      <c r="S32" s="878"/>
      <c r="T32" s="878"/>
      <c r="U32" s="878"/>
      <c r="V32" s="879"/>
    </row>
    <row r="33" spans="3:22" ht="16" customHeight="1" thickBot="1" x14ac:dyDescent="0.4">
      <c r="C33" s="779" t="s">
        <v>887</v>
      </c>
      <c r="D33" s="252"/>
      <c r="E33" s="252"/>
      <c r="F33" s="253" t="s">
        <v>223</v>
      </c>
      <c r="G33" s="674"/>
      <c r="H33" s="674"/>
      <c r="I33" s="902"/>
      <c r="J33" s="902"/>
      <c r="K33" s="902"/>
      <c r="L33" s="903"/>
      <c r="N33" s="877"/>
      <c r="O33" s="878"/>
      <c r="P33" s="878"/>
      <c r="Q33" s="878"/>
      <c r="R33" s="878"/>
      <c r="S33" s="878"/>
      <c r="T33" s="878"/>
      <c r="U33" s="878"/>
      <c r="V33" s="879"/>
    </row>
    <row r="34" spans="3:22" ht="5.15" customHeight="1" thickBot="1" x14ac:dyDescent="0.4">
      <c r="F34" s="44"/>
      <c r="N34" s="877"/>
      <c r="O34" s="878"/>
      <c r="P34" s="878"/>
      <c r="Q34" s="878"/>
      <c r="R34" s="878"/>
      <c r="S34" s="878"/>
      <c r="T34" s="878"/>
      <c r="U34" s="878"/>
      <c r="V34" s="879"/>
    </row>
    <row r="35" spans="3:22" ht="16" customHeight="1" x14ac:dyDescent="0.35">
      <c r="C35" s="254" t="s">
        <v>239</v>
      </c>
      <c r="D35" s="255"/>
      <c r="E35" s="255"/>
      <c r="F35" s="256"/>
      <c r="G35" s="267">
        <f t="shared" ref="G35:H35" si="9">G36+G38+G45+G46</f>
        <v>0</v>
      </c>
      <c r="H35" s="267">
        <f t="shared" si="9"/>
        <v>0</v>
      </c>
      <c r="I35" s="267">
        <f>I36+I38+I45+I46</f>
        <v>0</v>
      </c>
      <c r="J35" s="267">
        <f>J36+J38+J45+J46</f>
        <v>0</v>
      </c>
      <c r="K35" s="267">
        <f t="shared" ref="K35:L35" si="10">K36+K38+K45+K46</f>
        <v>0</v>
      </c>
      <c r="L35" s="268">
        <f t="shared" si="10"/>
        <v>0</v>
      </c>
      <c r="N35" s="897"/>
      <c r="O35" s="878"/>
      <c r="P35" s="878"/>
      <c r="Q35" s="878"/>
      <c r="R35" s="878"/>
      <c r="S35" s="878"/>
      <c r="T35" s="878"/>
      <c r="U35" s="878"/>
      <c r="V35" s="879"/>
    </row>
    <row r="36" spans="3:22" ht="16" customHeight="1" x14ac:dyDescent="0.35">
      <c r="C36" s="195" t="s">
        <v>240</v>
      </c>
      <c r="F36" s="166" t="s">
        <v>222</v>
      </c>
      <c r="G36" s="898"/>
      <c r="H36" s="898"/>
      <c r="I36" s="162">
        <f>'8 RAHOITUSSUUNNITELMA'!H44</f>
        <v>0</v>
      </c>
      <c r="J36" s="162">
        <f>'8 RAHOITUSSUUNNITELMA'!I44</f>
        <v>0</v>
      </c>
      <c r="K36" s="162">
        <f>'8 RAHOITUSSUUNNITELMA'!J44</f>
        <v>0</v>
      </c>
      <c r="L36" s="245">
        <f>'8 RAHOITUSSUUNNITELMA'!K44</f>
        <v>0</v>
      </c>
      <c r="N36" s="877"/>
      <c r="O36" s="878"/>
      <c r="P36" s="878"/>
      <c r="Q36" s="878"/>
      <c r="R36" s="878"/>
      <c r="S36" s="878"/>
      <c r="T36" s="878"/>
      <c r="U36" s="878"/>
      <c r="V36" s="879"/>
    </row>
    <row r="37" spans="3:22" ht="16" customHeight="1" x14ac:dyDescent="0.35">
      <c r="C37" s="1023" t="s">
        <v>242</v>
      </c>
      <c r="D37" s="1024"/>
      <c r="E37" s="1024"/>
      <c r="F37" s="1025"/>
      <c r="G37" s="317">
        <f>'8 RAHOITUSSUUNNITELMA'!F45</f>
        <v>0</v>
      </c>
      <c r="H37" s="317">
        <f>'8 RAHOITUSSUUNNITELMA'!G45</f>
        <v>0</v>
      </c>
      <c r="I37" s="317">
        <f>'8 RAHOITUSSUUNNITELMA'!H45</f>
        <v>0</v>
      </c>
      <c r="J37" s="317">
        <f>'8 RAHOITUSSUUNNITELMA'!I45</f>
        <v>0</v>
      </c>
      <c r="K37" s="317">
        <f>'8 RAHOITUSSUUNNITELMA'!J45</f>
        <v>0</v>
      </c>
      <c r="L37" s="319">
        <f>'8 RAHOITUSSUUNNITELMA'!K45</f>
        <v>0</v>
      </c>
      <c r="N37" s="881"/>
      <c r="O37" s="878"/>
      <c r="P37" s="878"/>
      <c r="Q37" s="878"/>
      <c r="R37" s="878"/>
      <c r="S37" s="878"/>
      <c r="T37" s="878"/>
      <c r="U37" s="878"/>
      <c r="V37" s="879"/>
    </row>
    <row r="38" spans="3:22" ht="16" customHeight="1" x14ac:dyDescent="0.35">
      <c r="C38" s="195" t="s">
        <v>241</v>
      </c>
      <c r="F38" s="166" t="s">
        <v>222</v>
      </c>
      <c r="G38" s="162">
        <f t="shared" ref="G38:H38" si="11">G39+G41+G43+G44</f>
        <v>0</v>
      </c>
      <c r="H38" s="162">
        <f t="shared" si="11"/>
        <v>0</v>
      </c>
      <c r="I38" s="162">
        <f>I39+I41+I43+I44</f>
        <v>0</v>
      </c>
      <c r="J38" s="162">
        <f t="shared" ref="J38:L38" si="12">J39+J41+J43+J44</f>
        <v>0</v>
      </c>
      <c r="K38" s="162">
        <f t="shared" si="12"/>
        <v>0</v>
      </c>
      <c r="L38" s="245">
        <f t="shared" si="12"/>
        <v>0</v>
      </c>
      <c r="N38" s="877"/>
      <c r="O38" s="878"/>
      <c r="P38" s="878"/>
      <c r="Q38" s="878"/>
      <c r="R38" s="878"/>
      <c r="S38" s="878"/>
      <c r="T38" s="878"/>
      <c r="U38" s="878"/>
      <c r="V38" s="879"/>
    </row>
    <row r="39" spans="3:22" ht="16" customHeight="1" x14ac:dyDescent="0.35">
      <c r="C39" s="257" t="s">
        <v>243</v>
      </c>
      <c r="F39" s="166" t="s">
        <v>222</v>
      </c>
      <c r="G39" s="864"/>
      <c r="H39" s="864"/>
      <c r="I39" s="151">
        <f>'8 RAHOITUSSUUNNITELMA'!H46</f>
        <v>0</v>
      </c>
      <c r="J39" s="151">
        <f>'8 RAHOITUSSUUNNITELMA'!I46</f>
        <v>0</v>
      </c>
      <c r="K39" s="151">
        <f>'8 RAHOITUSSUUNNITELMA'!J46</f>
        <v>0</v>
      </c>
      <c r="L39" s="177">
        <f>'8 RAHOITUSSUUNNITELMA'!K46</f>
        <v>0</v>
      </c>
      <c r="N39" s="877"/>
      <c r="O39" s="878"/>
      <c r="P39" s="878"/>
      <c r="Q39" s="878"/>
      <c r="R39" s="878"/>
      <c r="S39" s="878"/>
      <c r="T39" s="878"/>
      <c r="U39" s="878"/>
      <c r="V39" s="879"/>
    </row>
    <row r="40" spans="3:22" ht="16" customHeight="1" x14ac:dyDescent="0.35">
      <c r="C40" s="1023" t="s">
        <v>249</v>
      </c>
      <c r="D40" s="1024"/>
      <c r="E40" s="1024"/>
      <c r="F40" s="1025"/>
      <c r="G40" s="625">
        <f>'8 RAHOITUSSUUNNITELMA'!F47</f>
        <v>0</v>
      </c>
      <c r="H40" s="625">
        <f>'8 RAHOITUSSUUNNITELMA'!G47</f>
        <v>0</v>
      </c>
      <c r="I40" s="625">
        <f>'8 RAHOITUSSUUNNITELMA'!H47</f>
        <v>0</v>
      </c>
      <c r="J40" s="625">
        <f>'8 RAHOITUSSUUNNITELMA'!I47</f>
        <v>0</v>
      </c>
      <c r="K40" s="625">
        <f>'8 RAHOITUSSUUNNITELMA'!J47</f>
        <v>0</v>
      </c>
      <c r="L40" s="660">
        <f>'8 RAHOITUSSUUNNITELMA'!K47</f>
        <v>0</v>
      </c>
      <c r="N40" s="881"/>
      <c r="O40" s="878"/>
      <c r="P40" s="878"/>
      <c r="Q40" s="878"/>
      <c r="R40" s="878"/>
      <c r="S40" s="878"/>
      <c r="T40" s="878"/>
      <c r="U40" s="878"/>
      <c r="V40" s="879"/>
    </row>
    <row r="41" spans="3:22" ht="16" customHeight="1" x14ac:dyDescent="0.35">
      <c r="C41" s="257" t="s">
        <v>244</v>
      </c>
      <c r="F41" s="166" t="s">
        <v>222</v>
      </c>
      <c r="G41" s="864"/>
      <c r="H41" s="864">
        <v>0</v>
      </c>
      <c r="I41" s="151">
        <f>'8 RAHOITUSSUUNNITELMA'!H49</f>
        <v>0</v>
      </c>
      <c r="J41" s="151">
        <f>'8 RAHOITUSSUUNNITELMA'!I49</f>
        <v>0</v>
      </c>
      <c r="K41" s="151">
        <f>'8 RAHOITUSSUUNNITELMA'!J49</f>
        <v>0</v>
      </c>
      <c r="L41" s="177">
        <f>'8 RAHOITUSSUUNNITELMA'!K49</f>
        <v>0</v>
      </c>
      <c r="N41" s="877"/>
      <c r="O41" s="878"/>
      <c r="P41" s="878"/>
      <c r="Q41" s="878"/>
      <c r="R41" s="878"/>
      <c r="S41" s="878"/>
      <c r="T41" s="878"/>
      <c r="U41" s="878"/>
      <c r="V41" s="879"/>
    </row>
    <row r="42" spans="3:22" ht="16" customHeight="1" x14ac:dyDescent="0.35">
      <c r="C42" s="653" t="s">
        <v>629</v>
      </c>
      <c r="F42" s="167"/>
      <c r="G42" s="317">
        <f>'8 RAHOITUSSUUNNITELMA'!F50</f>
        <v>0</v>
      </c>
      <c r="H42" s="317">
        <f>'8 RAHOITUSSUUNNITELMA'!G50</f>
        <v>0</v>
      </c>
      <c r="I42" s="317">
        <f>'8 RAHOITUSSUUNNITELMA'!H50</f>
        <v>0</v>
      </c>
      <c r="J42" s="317">
        <f>'8 RAHOITUSSUUNNITELMA'!I50</f>
        <v>0</v>
      </c>
      <c r="K42" s="317">
        <f>'8 RAHOITUSSUUNNITELMA'!J50</f>
        <v>0</v>
      </c>
      <c r="L42" s="319">
        <f>'8 RAHOITUSSUUNNITELMA'!K50</f>
        <v>0</v>
      </c>
      <c r="N42" s="881"/>
      <c r="O42" s="878"/>
      <c r="P42" s="878"/>
      <c r="Q42" s="878"/>
      <c r="R42" s="878"/>
      <c r="S42" s="878"/>
      <c r="T42" s="878"/>
      <c r="U42" s="878"/>
      <c r="V42" s="879"/>
    </row>
    <row r="43" spans="3:22" ht="16" customHeight="1" x14ac:dyDescent="0.35">
      <c r="C43" s="257" t="s">
        <v>245</v>
      </c>
      <c r="F43" s="166" t="s">
        <v>222</v>
      </c>
      <c r="G43" s="864"/>
      <c r="H43" s="864"/>
      <c r="I43" s="864"/>
      <c r="J43" s="864"/>
      <c r="K43" s="864"/>
      <c r="L43" s="899"/>
      <c r="N43" s="741" t="s">
        <v>905</v>
      </c>
      <c r="S43" s="823">
        <f>IF(H43=0,0,H43/'2 &amp; 7 TULOSSUUNNITELMA'!H11)</f>
        <v>0</v>
      </c>
      <c r="V43" s="528"/>
    </row>
    <row r="44" spans="3:22" ht="16" customHeight="1" x14ac:dyDescent="0.35">
      <c r="C44" s="257" t="s">
        <v>246</v>
      </c>
      <c r="F44" s="166" t="s">
        <v>222</v>
      </c>
      <c r="G44" s="864"/>
      <c r="H44" s="864"/>
      <c r="I44" s="864">
        <f>$S$44*'2 &amp; 7 TULOSSUUNNITELMA'!J11</f>
        <v>0</v>
      </c>
      <c r="J44" s="864">
        <f>$S$44*'2 &amp; 7 TULOSSUUNNITELMA'!L11</f>
        <v>0</v>
      </c>
      <c r="K44" s="864">
        <f>$S$44*'2 &amp; 7 TULOSSUUNNITELMA'!N11</f>
        <v>0</v>
      </c>
      <c r="L44" s="899">
        <f>$S$44*'2 &amp; 7 TULOSSUUNNITELMA'!P11</f>
        <v>0</v>
      </c>
      <c r="N44" s="741" t="s">
        <v>628</v>
      </c>
      <c r="S44" s="823">
        <f>IF(H44=0,0,H44/'2 &amp; 7 TULOSSUUNNITELMA'!H11)</f>
        <v>0</v>
      </c>
      <c r="V44" s="528"/>
    </row>
    <row r="45" spans="3:22" ht="16" customHeight="1" x14ac:dyDescent="0.35">
      <c r="C45" s="195" t="s">
        <v>247</v>
      </c>
      <c r="F45" s="166" t="s">
        <v>222</v>
      </c>
      <c r="G45" s="898"/>
      <c r="H45" s="898"/>
      <c r="I45" s="898">
        <f>H45</f>
        <v>0</v>
      </c>
      <c r="J45" s="898">
        <f t="shared" ref="J45:L45" si="13">I45</f>
        <v>0</v>
      </c>
      <c r="K45" s="898">
        <f t="shared" si="13"/>
        <v>0</v>
      </c>
      <c r="L45" s="904">
        <f t="shared" si="13"/>
        <v>0</v>
      </c>
      <c r="N45" s="877"/>
      <c r="O45" s="878"/>
      <c r="P45" s="878"/>
      <c r="Q45" s="878"/>
      <c r="R45" s="911"/>
      <c r="S45" s="878"/>
      <c r="T45" s="878"/>
      <c r="U45" s="878"/>
      <c r="V45" s="879"/>
    </row>
    <row r="46" spans="3:22" ht="16" customHeight="1" thickBot="1" x14ac:dyDescent="0.4">
      <c r="C46" s="258" t="s">
        <v>248</v>
      </c>
      <c r="D46" s="259"/>
      <c r="E46" s="259"/>
      <c r="F46" s="253" t="s">
        <v>222</v>
      </c>
      <c r="G46" s="905"/>
      <c r="H46" s="905"/>
      <c r="I46" s="213">
        <f>I95-I10-I36-I38-I45</f>
        <v>0</v>
      </c>
      <c r="J46" s="213">
        <f>J95-J10-J36-J38-J45</f>
        <v>0</v>
      </c>
      <c r="K46" s="213">
        <f t="shared" ref="K46:L46" si="14">K95-K10-K36-K38-K45</f>
        <v>0</v>
      </c>
      <c r="L46" s="219">
        <f t="shared" si="14"/>
        <v>0</v>
      </c>
      <c r="N46" s="881"/>
      <c r="O46" s="878"/>
      <c r="P46" s="878"/>
      <c r="Q46" s="878"/>
      <c r="R46" s="878"/>
      <c r="S46" s="878"/>
      <c r="T46" s="878"/>
      <c r="U46" s="878"/>
      <c r="V46" s="879"/>
    </row>
    <row r="47" spans="3:22" s="277" customFormat="1" ht="18" customHeight="1" thickBot="1" x14ac:dyDescent="0.4">
      <c r="C47" s="273" t="s">
        <v>901</v>
      </c>
      <c r="D47" s="274"/>
      <c r="E47" s="274"/>
      <c r="F47" s="275"/>
      <c r="G47" s="276">
        <f>G46-'8 RAHOITUSSUUNNITELMA'!F38</f>
        <v>0</v>
      </c>
      <c r="H47" s="276">
        <f>H46-'8 RAHOITUSSUUNNITELMA'!G38</f>
        <v>0</v>
      </c>
      <c r="I47" s="276">
        <f>I46-'8 RAHOITUSSUUNNITELMA'!H38</f>
        <v>0</v>
      </c>
      <c r="J47" s="276">
        <f>J46-'8 RAHOITUSSUUNNITELMA'!I38</f>
        <v>0</v>
      </c>
      <c r="K47" s="276">
        <f>K46-'8 RAHOITUSSUUNNITELMA'!J38</f>
        <v>0</v>
      </c>
      <c r="L47" s="276">
        <f>L46-'8 RAHOITUSSUUNNITELMA'!K38</f>
        <v>0</v>
      </c>
      <c r="N47" s="912"/>
      <c r="O47" s="913"/>
      <c r="P47" s="913"/>
      <c r="Q47" s="913"/>
      <c r="R47" s="913"/>
      <c r="S47" s="913"/>
      <c r="T47" s="913"/>
      <c r="U47" s="913"/>
      <c r="V47" s="914"/>
    </row>
    <row r="48" spans="3:22" ht="16" customHeight="1" thickBot="1" x14ac:dyDescent="0.4">
      <c r="C48" s="262" t="s">
        <v>250</v>
      </c>
      <c r="D48" s="263"/>
      <c r="E48" s="263"/>
      <c r="F48" s="264"/>
      <c r="G48" s="217">
        <f t="shared" ref="G48:H48" si="15">G10+G35</f>
        <v>0</v>
      </c>
      <c r="H48" s="217">
        <f t="shared" si="15"/>
        <v>0</v>
      </c>
      <c r="I48" s="217">
        <f>I10+I35</f>
        <v>0</v>
      </c>
      <c r="J48" s="217">
        <f>J10+J35</f>
        <v>0</v>
      </c>
      <c r="K48" s="217">
        <f>K10+K35</f>
        <v>0</v>
      </c>
      <c r="L48" s="218">
        <f>L10+L35</f>
        <v>0</v>
      </c>
      <c r="N48" s="745" t="str">
        <f>N95</f>
        <v/>
      </c>
      <c r="O48" s="3"/>
      <c r="P48" s="3"/>
      <c r="Q48" s="3"/>
      <c r="R48" s="3"/>
      <c r="S48" s="3"/>
      <c r="T48" s="3"/>
      <c r="U48" s="3"/>
      <c r="V48" s="331"/>
    </row>
    <row r="49" spans="3:22" ht="16" customHeight="1" thickBot="1" x14ac:dyDescent="0.4"/>
    <row r="50" spans="3:22" ht="16" customHeight="1" x14ac:dyDescent="0.35">
      <c r="C50" s="408"/>
      <c r="D50" s="416"/>
      <c r="E50" s="416"/>
      <c r="F50" s="417"/>
      <c r="G50" s="824" t="str">
        <f t="shared" ref="G50:L50" si="16">G7</f>
        <v>Toteuma</v>
      </c>
      <c r="H50" s="824" t="str">
        <f t="shared" si="16"/>
        <v>Toteuma</v>
      </c>
      <c r="I50" s="812" t="str">
        <f t="shared" si="16"/>
        <v>Ennuste 1</v>
      </c>
      <c r="J50" s="812" t="str">
        <f t="shared" si="16"/>
        <v>Ennuste 2</v>
      </c>
      <c r="K50" s="812" t="str">
        <f t="shared" si="16"/>
        <v>Ennuste 3</v>
      </c>
      <c r="L50" s="816" t="str">
        <f t="shared" si="16"/>
        <v>Ennuste 4</v>
      </c>
      <c r="N50" s="458"/>
      <c r="O50" s="737"/>
      <c r="P50" s="737"/>
      <c r="Q50" s="737"/>
      <c r="R50" s="737"/>
      <c r="S50" s="737"/>
      <c r="T50" s="737"/>
      <c r="U50" s="737"/>
      <c r="V50" s="459"/>
    </row>
    <row r="51" spans="3:22" ht="16" customHeight="1" x14ac:dyDescent="0.4">
      <c r="C51" s="415" t="s">
        <v>582</v>
      </c>
      <c r="D51" s="418"/>
      <c r="E51" s="418"/>
      <c r="F51" s="419"/>
      <c r="G51" s="817">
        <f t="shared" ref="G51:L51" si="17">G8</f>
        <v>2024</v>
      </c>
      <c r="H51" s="817">
        <f t="shared" si="17"/>
        <v>2025</v>
      </c>
      <c r="I51" s="817">
        <f t="shared" si="17"/>
        <v>2026</v>
      </c>
      <c r="J51" s="817">
        <f t="shared" si="17"/>
        <v>2027</v>
      </c>
      <c r="K51" s="817">
        <f t="shared" si="17"/>
        <v>2028</v>
      </c>
      <c r="L51" s="818">
        <f t="shared" si="17"/>
        <v>2029</v>
      </c>
      <c r="N51" s="738" t="s">
        <v>582</v>
      </c>
      <c r="O51" s="411"/>
      <c r="P51" s="411"/>
      <c r="Q51" s="411"/>
      <c r="R51" s="411"/>
      <c r="S51" s="411"/>
      <c r="T51" s="411"/>
      <c r="U51" s="411"/>
      <c r="V51" s="446"/>
    </row>
    <row r="52" spans="3:22" ht="16" customHeight="1" x14ac:dyDescent="0.35">
      <c r="C52" s="410"/>
      <c r="D52" s="411"/>
      <c r="E52" s="411"/>
      <c r="F52" s="411"/>
      <c r="G52" s="819" t="s">
        <v>559</v>
      </c>
      <c r="H52" s="819" t="s">
        <v>559</v>
      </c>
      <c r="I52" s="819" t="s">
        <v>559</v>
      </c>
      <c r="J52" s="819" t="s">
        <v>559</v>
      </c>
      <c r="K52" s="819" t="s">
        <v>559</v>
      </c>
      <c r="L52" s="820" t="s">
        <v>559</v>
      </c>
      <c r="N52" s="739"/>
      <c r="O52" s="341"/>
      <c r="P52" s="341"/>
      <c r="Q52" s="341"/>
      <c r="R52" s="341"/>
      <c r="S52" s="341"/>
      <c r="T52" s="341"/>
      <c r="U52" s="341"/>
      <c r="V52" s="409"/>
    </row>
    <row r="53" spans="3:22" ht="16" customHeight="1" x14ac:dyDescent="0.35">
      <c r="C53" s="244" t="s">
        <v>251</v>
      </c>
      <c r="D53" s="165"/>
      <c r="E53" s="165"/>
      <c r="F53" s="172"/>
      <c r="G53" s="162">
        <f>G54+G55-G56+G57+G58</f>
        <v>0</v>
      </c>
      <c r="H53" s="162">
        <f t="shared" ref="H53:L53" si="18">H54+H55-H56+H57+H58</f>
        <v>0</v>
      </c>
      <c r="I53" s="162">
        <f t="shared" si="18"/>
        <v>0</v>
      </c>
      <c r="J53" s="162">
        <f>J54+J55-J56+J57+J58</f>
        <v>0</v>
      </c>
      <c r="K53" s="162">
        <f t="shared" si="18"/>
        <v>0</v>
      </c>
      <c r="L53" s="245">
        <f t="shared" si="18"/>
        <v>0</v>
      </c>
      <c r="N53" s="915"/>
      <c r="O53" s="916"/>
      <c r="P53" s="916"/>
      <c r="Q53" s="916"/>
      <c r="R53" s="916"/>
      <c r="S53" s="916"/>
      <c r="T53" s="916"/>
      <c r="U53" s="916"/>
      <c r="V53" s="917"/>
    </row>
    <row r="54" spans="3:22" ht="16" customHeight="1" x14ac:dyDescent="0.35">
      <c r="C54" s="257" t="s">
        <v>254</v>
      </c>
      <c r="F54" s="173"/>
      <c r="G54" s="864"/>
      <c r="H54" s="864"/>
      <c r="I54" s="151">
        <f>'1 INVESTOINTISUUNNITELMA'!E48+H54+I67</f>
        <v>0</v>
      </c>
      <c r="J54" s="151">
        <f>'1 INVESTOINTISUUNNITELMA'!F48+I54+J67</f>
        <v>0</v>
      </c>
      <c r="K54" s="151">
        <f>'1 INVESTOINTISUUNNITELMA'!G48+J54+K67</f>
        <v>0</v>
      </c>
      <c r="L54" s="177">
        <f>'1 INVESTOINTISUUNNITELMA'!H48+K54+L67</f>
        <v>0</v>
      </c>
      <c r="N54" s="915"/>
      <c r="O54" s="916"/>
      <c r="P54" s="916"/>
      <c r="Q54" s="916"/>
      <c r="R54" s="916"/>
      <c r="S54" s="916"/>
      <c r="T54" s="916"/>
      <c r="U54" s="916"/>
      <c r="V54" s="917"/>
    </row>
    <row r="55" spans="3:22" ht="16" customHeight="1" x14ac:dyDescent="0.35">
      <c r="C55" s="257" t="s">
        <v>252</v>
      </c>
      <c r="F55" s="173"/>
      <c r="G55" s="864"/>
      <c r="H55" s="864"/>
      <c r="I55" s="151">
        <f>H55-H56+H57</f>
        <v>0</v>
      </c>
      <c r="J55" s="151">
        <f>I55-I56+I57</f>
        <v>0</v>
      </c>
      <c r="K55" s="151">
        <f>J55-J56+J57</f>
        <v>0</v>
      </c>
      <c r="L55" s="177">
        <f>K55-K56+K57</f>
        <v>0</v>
      </c>
      <c r="N55" s="915"/>
      <c r="O55" s="916"/>
      <c r="P55" s="916"/>
      <c r="Q55" s="916"/>
      <c r="R55" s="916"/>
      <c r="S55" s="916"/>
      <c r="T55" s="916"/>
      <c r="U55" s="916"/>
      <c r="V55" s="917"/>
    </row>
    <row r="56" spans="3:22" ht="16" customHeight="1" x14ac:dyDescent="0.35">
      <c r="C56" s="257" t="s">
        <v>253</v>
      </c>
      <c r="F56" s="173"/>
      <c r="G56" s="661"/>
      <c r="H56" s="661"/>
      <c r="I56" s="151">
        <f>'8 RAHOITUSSUUNNITELMA'!H34</f>
        <v>0</v>
      </c>
      <c r="J56" s="151">
        <f>'8 RAHOITUSSUUNNITELMA'!I34</f>
        <v>0</v>
      </c>
      <c r="K56" s="151">
        <f>'8 RAHOITUSSUUNNITELMA'!J34</f>
        <v>0</v>
      </c>
      <c r="L56" s="177">
        <f>'8 RAHOITUSSUUNNITELMA'!K34</f>
        <v>0</v>
      </c>
      <c r="N56" s="742" t="s">
        <v>597</v>
      </c>
      <c r="O56" s="8"/>
      <c r="P56" s="8"/>
      <c r="Q56" s="8"/>
      <c r="R56" s="8"/>
      <c r="S56" s="8"/>
      <c r="T56" s="8"/>
      <c r="U56" s="8"/>
      <c r="V56" s="746"/>
    </row>
    <row r="57" spans="3:22" ht="16" customHeight="1" x14ac:dyDescent="0.35">
      <c r="C57" s="257" t="s">
        <v>255</v>
      </c>
      <c r="F57" s="173"/>
      <c r="G57" s="151">
        <f>'2 &amp; 7 TULOSSUUNNITELMA'!F31</f>
        <v>0</v>
      </c>
      <c r="H57" s="151">
        <f>'2 &amp; 7 TULOSSUUNNITELMA'!H31</f>
        <v>0</v>
      </c>
      <c r="I57" s="151">
        <f>'2 &amp; 7 TULOSSUUNNITELMA'!J31</f>
        <v>0</v>
      </c>
      <c r="J57" s="151">
        <f>'2 &amp; 7 TULOSSUUNNITELMA'!L31</f>
        <v>0</v>
      </c>
      <c r="K57" s="151">
        <f>'2 &amp; 7 TULOSSUUNNITELMA'!N31</f>
        <v>0</v>
      </c>
      <c r="L57" s="177">
        <f>'2 &amp; 7 TULOSSUUNNITELMA'!P31</f>
        <v>0</v>
      </c>
      <c r="N57" s="915"/>
      <c r="O57" s="916"/>
      <c r="P57" s="916"/>
      <c r="Q57" s="916"/>
      <c r="R57" s="916"/>
      <c r="S57" s="916"/>
      <c r="T57" s="916"/>
      <c r="U57" s="916"/>
      <c r="V57" s="917"/>
    </row>
    <row r="58" spans="3:22" ht="16" customHeight="1" x14ac:dyDescent="0.35">
      <c r="C58" s="257" t="s">
        <v>650</v>
      </c>
      <c r="F58" s="173"/>
      <c r="G58" s="864"/>
      <c r="H58" s="864"/>
      <c r="I58" s="864">
        <f>H58+'1 INVESTOINTISUUNNITELMA'!E49</f>
        <v>0</v>
      </c>
      <c r="J58" s="864">
        <f>I58+'1 INVESTOINTISUUNNITELMA'!F49</f>
        <v>0</v>
      </c>
      <c r="K58" s="864">
        <f>J58+'1 INVESTOINTISUUNNITELMA'!G49</f>
        <v>0</v>
      </c>
      <c r="L58" s="899">
        <f>K58+'1 INVESTOINTISUUNNITELMA'!H49</f>
        <v>0</v>
      </c>
      <c r="N58" s="915"/>
      <c r="O58" s="916"/>
      <c r="P58" s="916"/>
      <c r="Q58" s="916"/>
      <c r="R58" s="916"/>
      <c r="S58" s="916"/>
      <c r="T58" s="916"/>
      <c r="U58" s="916"/>
      <c r="V58" s="917"/>
    </row>
    <row r="59" spans="3:22" ht="16" customHeight="1" x14ac:dyDescent="0.35">
      <c r="C59" s="195" t="s">
        <v>256</v>
      </c>
      <c r="F59" s="173"/>
      <c r="G59" s="162">
        <f t="shared" ref="G59:H59" si="19">G60+G61</f>
        <v>0</v>
      </c>
      <c r="H59" s="162">
        <f t="shared" si="19"/>
        <v>0</v>
      </c>
      <c r="I59" s="162">
        <f>I60+I61</f>
        <v>0</v>
      </c>
      <c r="J59" s="162">
        <f t="shared" ref="J59:L59" si="20">J60+J61</f>
        <v>0</v>
      </c>
      <c r="K59" s="162">
        <f t="shared" si="20"/>
        <v>0</v>
      </c>
      <c r="L59" s="245">
        <f t="shared" si="20"/>
        <v>0</v>
      </c>
      <c r="N59" s="915"/>
      <c r="O59" s="916"/>
      <c r="P59" s="916"/>
      <c r="Q59" s="916"/>
      <c r="R59" s="916"/>
      <c r="S59" s="916"/>
      <c r="T59" s="916"/>
      <c r="U59" s="916"/>
      <c r="V59" s="917"/>
    </row>
    <row r="60" spans="3:22" ht="16" customHeight="1" x14ac:dyDescent="0.35">
      <c r="C60" s="248" t="s">
        <v>257</v>
      </c>
      <c r="F60" s="173"/>
      <c r="G60" s="864"/>
      <c r="H60" s="864"/>
      <c r="I60" s="151">
        <f>H60-'2 &amp; 7 TULOSSUUNNITELMA'!J29</f>
        <v>0</v>
      </c>
      <c r="J60" s="151">
        <f>I60-'2 &amp; 7 TULOSSUUNNITELMA'!L29</f>
        <v>0</v>
      </c>
      <c r="K60" s="151">
        <f>J60-'2 &amp; 7 TULOSSUUNNITELMA'!N29</f>
        <v>0</v>
      </c>
      <c r="L60" s="177">
        <f>K60-'2 &amp; 7 TULOSSUUNNITELMA'!P29</f>
        <v>0</v>
      </c>
      <c r="N60" s="915"/>
      <c r="O60" s="916"/>
      <c r="P60" s="916"/>
      <c r="Q60" s="916"/>
      <c r="R60" s="916"/>
      <c r="S60" s="916"/>
      <c r="T60" s="916"/>
      <c r="U60" s="916"/>
      <c r="V60" s="917"/>
    </row>
    <row r="61" spans="3:22" ht="16" customHeight="1" x14ac:dyDescent="0.35">
      <c r="C61" s="248" t="s">
        <v>258</v>
      </c>
      <c r="F61" s="173"/>
      <c r="G61" s="864"/>
      <c r="H61" s="864"/>
      <c r="I61" s="151">
        <f>I62*('5 KUSTANNUKSET'!G13*'5 KUSTANNUKSET'!G15+'5 KUSTANNUKSET'!G17+'5 KUSTANNUKSET'!G24)</f>
        <v>0</v>
      </c>
      <c r="J61" s="151">
        <f>J62*('5 KUSTANNUKSET'!I13*'5 KUSTANNUKSET'!I15+'5 KUSTANNUKSET'!I17+'5 KUSTANNUKSET'!I24)</f>
        <v>0</v>
      </c>
      <c r="K61" s="151">
        <f>K62*('5 KUSTANNUKSET'!K13*'5 KUSTANNUKSET'!K15+'5 KUSTANNUKSET'!K17+'5 KUSTANNUKSET'!K24)</f>
        <v>0</v>
      </c>
      <c r="L61" s="177">
        <f>L62*('5 KUSTANNUKSET'!M13*'5 KUSTANNUKSET'!M15+'5 KUSTANNUKSET'!M17+'5 KUSTANNUKSET'!M24)</f>
        <v>0</v>
      </c>
      <c r="N61" s="915"/>
      <c r="O61" s="916"/>
      <c r="P61" s="916"/>
      <c r="Q61" s="916"/>
      <c r="R61" s="916"/>
      <c r="S61" s="916"/>
      <c r="T61" s="916"/>
      <c r="U61" s="916"/>
      <c r="V61" s="917"/>
    </row>
    <row r="62" spans="3:22" ht="16" customHeight="1" x14ac:dyDescent="0.35">
      <c r="C62" s="653" t="s">
        <v>634</v>
      </c>
      <c r="F62" s="173"/>
      <c r="G62" s="317"/>
      <c r="H62" s="317"/>
      <c r="I62" s="906">
        <f>H62</f>
        <v>0</v>
      </c>
      <c r="J62" s="906">
        <f t="shared" ref="J62:L62" si="21">I62</f>
        <v>0</v>
      </c>
      <c r="K62" s="906">
        <f t="shared" si="21"/>
        <v>0</v>
      </c>
      <c r="L62" s="907">
        <f t="shared" si="21"/>
        <v>0</v>
      </c>
      <c r="N62" s="915"/>
      <c r="O62" s="916"/>
      <c r="P62" s="916"/>
      <c r="Q62" s="916"/>
      <c r="R62" s="916"/>
      <c r="S62" s="916"/>
      <c r="T62" s="916"/>
      <c r="U62" s="916"/>
      <c r="V62" s="917"/>
    </row>
    <row r="63" spans="3:22" ht="16" customHeight="1" x14ac:dyDescent="0.35">
      <c r="C63" s="195" t="s">
        <v>259</v>
      </c>
      <c r="F63" s="173"/>
      <c r="G63" s="898"/>
      <c r="H63" s="898"/>
      <c r="I63" s="898">
        <f>H63</f>
        <v>0</v>
      </c>
      <c r="J63" s="898">
        <f>I63</f>
        <v>0</v>
      </c>
      <c r="K63" s="898">
        <f>J63</f>
        <v>0</v>
      </c>
      <c r="L63" s="904">
        <f>K63</f>
        <v>0</v>
      </c>
      <c r="N63" s="915"/>
      <c r="O63" s="918"/>
      <c r="P63" s="916"/>
      <c r="Q63" s="916"/>
      <c r="R63" s="916"/>
      <c r="S63" s="916"/>
      <c r="T63" s="916"/>
      <c r="U63" s="916"/>
      <c r="V63" s="917"/>
    </row>
    <row r="64" spans="3:22" ht="16" customHeight="1" x14ac:dyDescent="0.35">
      <c r="C64" s="195" t="s">
        <v>260</v>
      </c>
      <c r="F64" s="173"/>
      <c r="G64" s="162">
        <f t="shared" ref="G64:H64" si="22">G65+G66+G67+G68+G71</f>
        <v>0</v>
      </c>
      <c r="H64" s="162">
        <f t="shared" si="22"/>
        <v>0</v>
      </c>
      <c r="I64" s="162">
        <f>I65+I66+I67+I68+I71</f>
        <v>0</v>
      </c>
      <c r="J64" s="162">
        <f t="shared" ref="J64:L64" si="23">J65+J66+J67+J68+J71</f>
        <v>0</v>
      </c>
      <c r="K64" s="162">
        <f t="shared" si="23"/>
        <v>0</v>
      </c>
      <c r="L64" s="245">
        <f t="shared" si="23"/>
        <v>0</v>
      </c>
      <c r="N64" s="915"/>
      <c r="O64" s="916"/>
      <c r="P64" s="916"/>
      <c r="Q64" s="916"/>
      <c r="R64" s="916"/>
      <c r="S64" s="916"/>
      <c r="T64" s="916"/>
      <c r="U64" s="916"/>
      <c r="V64" s="917"/>
    </row>
    <row r="65" spans="3:22" ht="16" customHeight="1" x14ac:dyDescent="0.35">
      <c r="C65" s="248" t="s">
        <v>261</v>
      </c>
      <c r="F65" s="173"/>
      <c r="G65" s="864"/>
      <c r="H65" s="864"/>
      <c r="I65" s="151">
        <f>'AT4 Lainat'!U18+'AT4 Lainat'!U22+'AT4 Lainat'!U23+'AT4 Lainat'!U24-'8 RAHOITUSSUUNNITELMA'!H30</f>
        <v>0</v>
      </c>
      <c r="J65" s="151">
        <f>'AT4 Lainat'!AA18+'AT4 Lainat'!AA22+'AT4 Lainat'!AA23+'AT4 Lainat'!AA24+'AT4 Lainat'!AA26+'AT4 Lainat'!AA27+'AT4 Lainat'!AA28-'8 RAHOITUSSUUNNITELMA'!H30-'8 RAHOITUSSUUNNITELMA'!I30</f>
        <v>0</v>
      </c>
      <c r="K65" s="151">
        <f>'AT4 Lainat'!AG18+'AT4 Lainat'!AG22+'AT4 Lainat'!AG23+'AT4 Lainat'!AG24+'AT4 Lainat'!AG26+'AT4 Lainat'!AG27+'AT4 Lainat'!AG28+'AT4 Lainat'!AG30+'AT4 Lainat'!AG31+'AT4 Lainat'!AG32-'8 RAHOITUSSUUNNITELMA'!H30-'8 RAHOITUSSUUNNITELMA'!I30-'8 RAHOITUSSUUNNITELMA'!J30</f>
        <v>0</v>
      </c>
      <c r="L65" s="177">
        <f>'AT4 Lainat'!AM18+'AT4 Lainat'!AM22+'AT4 Lainat'!AM23+'AT4 Lainat'!AM24+'AT4 Lainat'!AM26+'AT4 Lainat'!AM27+'AT4 Lainat'!AM28+'AT4 Lainat'!AM30+'AT4 Lainat'!AM31+'AT4 Lainat'!AM32+'AT4 Lainat'!AM34+'AT4 Lainat'!AM35+'AT4 Lainat'!AM36-'8 RAHOITUSSUUNNITELMA'!H30-'8 RAHOITUSSUUNNITELMA'!I30-'8 RAHOITUSSUUNNITELMA'!J30-'8 RAHOITUSSUUNNITELMA'!K30</f>
        <v>0</v>
      </c>
      <c r="N65" s="919"/>
      <c r="O65" s="916"/>
      <c r="P65" s="916"/>
      <c r="Q65" s="916"/>
      <c r="R65" s="916"/>
      <c r="S65" s="916"/>
      <c r="T65" s="916"/>
      <c r="U65" s="916"/>
      <c r="V65" s="917"/>
    </row>
    <row r="66" spans="3:22" ht="16" customHeight="1" x14ac:dyDescent="0.35">
      <c r="C66" s="248" t="s">
        <v>262</v>
      </c>
      <c r="F66" s="173"/>
      <c r="G66" s="864"/>
      <c r="H66" s="864"/>
      <c r="I66" s="864">
        <f>H66+'1 INVESTOINTISUUNNITELMA'!E51</f>
        <v>0</v>
      </c>
      <c r="J66" s="864">
        <f>I66+'1 INVESTOINTISUUNNITELMA'!F51</f>
        <v>0</v>
      </c>
      <c r="K66" s="864">
        <f>J66+'1 INVESTOINTISUUNNITELMA'!G51</f>
        <v>0</v>
      </c>
      <c r="L66" s="899">
        <f>K66+'1 INVESTOINTISUUNNITELMA'!H51</f>
        <v>0</v>
      </c>
      <c r="N66" s="919"/>
      <c r="O66" s="916"/>
      <c r="P66" s="916"/>
      <c r="Q66" s="916"/>
      <c r="R66" s="916"/>
      <c r="S66" s="916"/>
      <c r="T66" s="916"/>
      <c r="U66" s="916"/>
      <c r="V66" s="917"/>
    </row>
    <row r="67" spans="3:22" ht="16" customHeight="1" x14ac:dyDescent="0.35">
      <c r="C67" s="778" t="s">
        <v>889</v>
      </c>
      <c r="F67" s="173"/>
      <c r="G67" s="151"/>
      <c r="H67" s="151"/>
      <c r="I67" s="864"/>
      <c r="J67" s="864"/>
      <c r="K67" s="864"/>
      <c r="L67" s="899"/>
      <c r="N67" s="747">
        <f>IF(I67&gt;0,"VÄHENNÄ AKORDI PÄÄOMALAINAN SALDOSTA!",IF(J67&gt;0,"VÄHENNÄ AKORDI PÄÄOMALAINAN SALDOSTA!",IF(K67&gt;0,"VÄHENNÄ AKORDI PÄÄOMALAINAN SALDOSTA!",IF(L67&gt;0,"VÄHENNÄ AKORDI PÄÄOMALAINAN SALDOSTA!",0))))</f>
        <v>0</v>
      </c>
      <c r="O67" s="916"/>
      <c r="P67" s="916"/>
      <c r="Q67" s="916"/>
      <c r="R67" s="916"/>
      <c r="S67" s="916"/>
      <c r="T67" s="916"/>
      <c r="U67" s="916"/>
      <c r="V67" s="917"/>
    </row>
    <row r="68" spans="3:22" ht="16" customHeight="1" x14ac:dyDescent="0.35">
      <c r="C68" s="248" t="s">
        <v>263</v>
      </c>
      <c r="F68" s="173"/>
      <c r="G68" s="151">
        <f>G69+G70</f>
        <v>0</v>
      </c>
      <c r="H68" s="151">
        <f t="shared" ref="H68:L68" si="24">H69+H70</f>
        <v>0</v>
      </c>
      <c r="I68" s="151">
        <f t="shared" si="24"/>
        <v>0</v>
      </c>
      <c r="J68" s="151">
        <f t="shared" si="24"/>
        <v>0</v>
      </c>
      <c r="K68" s="151">
        <f t="shared" si="24"/>
        <v>0</v>
      </c>
      <c r="L68" s="177">
        <f t="shared" si="24"/>
        <v>0</v>
      </c>
      <c r="N68" s="915"/>
      <c r="O68" s="916"/>
      <c r="P68" s="916"/>
      <c r="Q68" s="916"/>
      <c r="R68" s="916"/>
      <c r="S68" s="916"/>
      <c r="T68" s="916"/>
      <c r="U68" s="916"/>
      <c r="V68" s="917"/>
    </row>
    <row r="69" spans="3:22" ht="16" customHeight="1" x14ac:dyDescent="0.35">
      <c r="C69" s="778" t="s">
        <v>340</v>
      </c>
      <c r="F69" s="173"/>
      <c r="G69" s="864"/>
      <c r="H69" s="864"/>
      <c r="I69" s="864">
        <f>H69</f>
        <v>0</v>
      </c>
      <c r="J69" s="864">
        <f t="shared" ref="J69:L69" si="25">I69</f>
        <v>0</v>
      </c>
      <c r="K69" s="864">
        <f t="shared" si="25"/>
        <v>0</v>
      </c>
      <c r="L69" s="899">
        <f t="shared" si="25"/>
        <v>0</v>
      </c>
      <c r="N69" s="747">
        <f>IF(I69&gt;0,"LISÄÄ OSTOVELAN KORKO 4 LAINAT LOMAKKEEN KOHTAAN Korot pitkäaikaisista veloista, ei velkakirjaa!",IF(J69&gt;0,"LISÄÄ OSTOVELAN KORKO 4 LAINAT LOMAKKEEN KOHTAAN Korot pitkäaikaisista veloista, ei velkakirjaa!",IF(K69&gt;0,"LISÄÄ OSTOVELAN KORKO 4 LAINAT LOMAKKEEN KOHTAAN Korot pitkäaikaisista veloista, ei velkakirjaa!",IF(L69&gt;0,"LISÄÄ OSTOVELAN KORKO 4 LAINAT LOMAKKEEN KOHTAAN Korot pitkäaikaisista veloista, ei velkakirjaa!",0))))</f>
        <v>0</v>
      </c>
      <c r="O69" s="8"/>
      <c r="P69" s="8"/>
      <c r="Q69" s="8"/>
      <c r="R69" s="8"/>
      <c r="S69" s="8"/>
      <c r="T69" s="8"/>
      <c r="U69" s="8"/>
      <c r="V69" s="746"/>
    </row>
    <row r="70" spans="3:22" ht="16" customHeight="1" x14ac:dyDescent="0.35">
      <c r="C70" s="778" t="s">
        <v>890</v>
      </c>
      <c r="F70" s="173"/>
      <c r="G70" s="864"/>
      <c r="H70" s="864"/>
      <c r="I70" s="151">
        <f>'AT4 Lainat'!O39+'AT4 Lainat'!O43</f>
        <v>0</v>
      </c>
      <c r="J70" s="151">
        <f>'AT4 Lainat'!U39+'AT4 Lainat'!U43+'AT4 Lainat'!U46</f>
        <v>0</v>
      </c>
      <c r="K70" s="151">
        <f>'AT4 Lainat'!AA39+'AT4 Lainat'!AA43+'AT4 Lainat'!AA46+'AT4 Lainat'!AA49</f>
        <v>0</v>
      </c>
      <c r="L70" s="177">
        <f>'AT4 Lainat'!AG39+'AT4 Lainat'!AG43+'AT4 Lainat'!AG46+'AT4 Lainat'!AG49+'AT4 Lainat'!AG52</f>
        <v>0</v>
      </c>
      <c r="N70" s="915"/>
      <c r="O70" s="916"/>
      <c r="P70" s="916"/>
      <c r="Q70" s="916"/>
      <c r="R70" s="916"/>
      <c r="S70" s="916"/>
      <c r="T70" s="916"/>
      <c r="U70" s="916"/>
      <c r="V70" s="917"/>
    </row>
    <row r="71" spans="3:22" ht="16" customHeight="1" x14ac:dyDescent="0.35">
      <c r="C71" s="248" t="s">
        <v>265</v>
      </c>
      <c r="F71" s="173"/>
      <c r="G71" s="864"/>
      <c r="H71" s="864"/>
      <c r="I71" s="864">
        <f>H71</f>
        <v>0</v>
      </c>
      <c r="J71" s="864">
        <f>I71</f>
        <v>0</v>
      </c>
      <c r="K71" s="864">
        <f t="shared" ref="K71:L71" si="26">J71</f>
        <v>0</v>
      </c>
      <c r="L71" s="899">
        <f t="shared" si="26"/>
        <v>0</v>
      </c>
      <c r="N71" s="747">
        <f>IF(I71&gt;0,"SAADUT VELKAKIRJALAINAT MERKITÄÄN TAULUKKOON 4 LAINAT, MUUT TÄHÄN!",IF(J71&gt;0,"SAADUT VELKAKIRJALAINAT MERKITÄÄN TAULUKKOON 4 LAINAT, MUUT TÄHÄN!",IF(K71&gt;0,"SAADUT VELKAKIRJALAINAT MERKITÄÄN TAULUKKOON 4 LAINAT, MUUT TÄHÄN!",IF(L71&gt;0,"SAADUT VELKAKIRJALAINAT MERKITÄÄN TAULUKKOON 4 LAINAT, MUUT TÄHÄN!",0))))</f>
        <v>0</v>
      </c>
      <c r="O71" s="8"/>
      <c r="P71" s="8"/>
      <c r="Q71" s="8"/>
      <c r="R71" s="8"/>
      <c r="S71" s="8"/>
      <c r="T71" s="8"/>
      <c r="U71" s="8"/>
      <c r="V71" s="746"/>
    </row>
    <row r="72" spans="3:22" ht="16" customHeight="1" x14ac:dyDescent="0.35">
      <c r="C72" s="195" t="s">
        <v>266</v>
      </c>
      <c r="F72" s="173"/>
      <c r="G72" s="162">
        <f t="shared" ref="G72:H72" si="27">G73+G76+G77+G81+G88+G93</f>
        <v>0</v>
      </c>
      <c r="H72" s="162">
        <f t="shared" si="27"/>
        <v>0</v>
      </c>
      <c r="I72" s="162">
        <f>I73+I76+I77+I81+I88+I93</f>
        <v>0</v>
      </c>
      <c r="J72" s="162">
        <f t="shared" ref="J72:L72" si="28">J73+J76+J77+J81+J88+J93</f>
        <v>0</v>
      </c>
      <c r="K72" s="162">
        <f t="shared" si="28"/>
        <v>0</v>
      </c>
      <c r="L72" s="245">
        <f t="shared" si="28"/>
        <v>0</v>
      </c>
      <c r="N72" s="915"/>
      <c r="O72" s="916"/>
      <c r="P72" s="916"/>
      <c r="Q72" s="916"/>
      <c r="R72" s="916"/>
      <c r="S72" s="916"/>
      <c r="T72" s="916"/>
      <c r="U72" s="916"/>
      <c r="V72" s="917"/>
    </row>
    <row r="73" spans="3:22" ht="16" customHeight="1" x14ac:dyDescent="0.35">
      <c r="C73" s="248" t="s">
        <v>261</v>
      </c>
      <c r="F73" s="173"/>
      <c r="G73" s="151">
        <f>G74+G75</f>
        <v>0</v>
      </c>
      <c r="H73" s="151">
        <f t="shared" ref="H73:L73" si="29">H74+H75</f>
        <v>0</v>
      </c>
      <c r="I73" s="151">
        <f>I74+I75</f>
        <v>0</v>
      </c>
      <c r="J73" s="151">
        <f t="shared" si="29"/>
        <v>0</v>
      </c>
      <c r="K73" s="151">
        <f t="shared" si="29"/>
        <v>0</v>
      </c>
      <c r="L73" s="177">
        <f t="shared" si="29"/>
        <v>0</v>
      </c>
      <c r="N73" s="915"/>
      <c r="O73" s="916"/>
      <c r="P73" s="916"/>
      <c r="Q73" s="916"/>
      <c r="R73" s="916"/>
      <c r="S73" s="916"/>
      <c r="T73" s="916"/>
      <c r="U73" s="916"/>
      <c r="V73" s="917"/>
    </row>
    <row r="74" spans="3:22" ht="16" customHeight="1" x14ac:dyDescent="0.35">
      <c r="C74" s="778" t="s">
        <v>891</v>
      </c>
      <c r="F74" s="173"/>
      <c r="G74" s="864"/>
      <c r="H74" s="864"/>
      <c r="I74" s="151">
        <f>'4 LAINAT'!J19+'4 LAINAT'!K25+'4 LAINAT'!K26+'4 LAINAT'!K27</f>
        <v>0</v>
      </c>
      <c r="J74" s="151">
        <f>'4 LAINAT'!M19+'4 LAINAT'!N25+'4 LAINAT'!N26+'4 LAINAT'!N27+'4 LAINAT'!N29+'4 LAINAT'!N30+'4 LAINAT'!N31</f>
        <v>0</v>
      </c>
      <c r="K74" s="151">
        <f>'4 LAINAT'!P19+'4 LAINAT'!Q25+'4 LAINAT'!Q26+'4 LAINAT'!Q27+'4 LAINAT'!Q29+'4 LAINAT'!Q30+'4 LAINAT'!Q31+'4 LAINAT'!Q33+'4 LAINAT'!Q34+'4 LAINAT'!Q35</f>
        <v>0</v>
      </c>
      <c r="L74" s="177">
        <f>'AT4 Lainat'!AK18+'AT4 Lainat'!AK37</f>
        <v>0</v>
      </c>
      <c r="N74" s="915"/>
      <c r="O74" s="916"/>
      <c r="P74" s="916"/>
      <c r="Q74" s="916"/>
      <c r="R74" s="916"/>
      <c r="S74" s="916"/>
      <c r="T74" s="916"/>
      <c r="U74" s="916"/>
      <c r="V74" s="917"/>
    </row>
    <row r="75" spans="3:22" ht="16" customHeight="1" x14ac:dyDescent="0.35">
      <c r="C75" s="778" t="s">
        <v>892</v>
      </c>
      <c r="F75" s="173"/>
      <c r="G75" s="864"/>
      <c r="H75" s="864"/>
      <c r="I75" s="864">
        <v>0</v>
      </c>
      <c r="J75" s="864">
        <f>I75</f>
        <v>0</v>
      </c>
      <c r="K75" s="864">
        <f t="shared" ref="K75:L75" si="30">J75</f>
        <v>0</v>
      </c>
      <c r="L75" s="899">
        <f t="shared" si="30"/>
        <v>0</v>
      </c>
      <c r="N75" s="747">
        <f>IF(I75&gt;0,"MERKITSE KORKO 4 LAINAT -LOMAKKEEN KOHTAAN Lyhytaikaisten lainojen korot!",IF(J75&gt;0,"MERKITSE KORKO 4 LAINAT -LOMAKKEEN KOHTAAN Lyhytaikaisten lainojen korot!",IF(K75&gt;0,"MERKITSE KORKO 4 LAINAT -LOMAKKEEN KOHTAAN Lyhytaikaisten lainojen korot!",IF(L75&gt;0,"MERKITSE KORKO 4 LAINAT -LOMAKKEEN KOHTAAN Lyhytaikaisten lainojen korot!",0))))</f>
        <v>0</v>
      </c>
      <c r="O75" s="916"/>
      <c r="P75" s="916"/>
      <c r="Q75" s="916"/>
      <c r="R75" s="916"/>
      <c r="S75" s="916"/>
      <c r="T75" s="916"/>
      <c r="U75" s="916"/>
      <c r="V75" s="917"/>
    </row>
    <row r="76" spans="3:22" ht="16" customHeight="1" x14ac:dyDescent="0.35">
      <c r="C76" s="248" t="s">
        <v>262</v>
      </c>
      <c r="F76" s="173"/>
      <c r="G76" s="864"/>
      <c r="H76" s="864"/>
      <c r="I76" s="864">
        <f>H76</f>
        <v>0</v>
      </c>
      <c r="J76" s="864">
        <f t="shared" ref="J76:L76" si="31">I76</f>
        <v>0</v>
      </c>
      <c r="K76" s="864">
        <f t="shared" si="31"/>
        <v>0</v>
      </c>
      <c r="L76" s="899">
        <f t="shared" si="31"/>
        <v>0</v>
      </c>
      <c r="N76" s="919"/>
      <c r="O76" s="916"/>
      <c r="P76" s="916"/>
      <c r="Q76" s="916"/>
      <c r="R76" s="916"/>
      <c r="S76" s="916"/>
      <c r="T76" s="916"/>
      <c r="U76" s="916"/>
      <c r="V76" s="917"/>
    </row>
    <row r="77" spans="3:22" ht="16" customHeight="1" x14ac:dyDescent="0.35">
      <c r="C77" s="248" t="s">
        <v>263</v>
      </c>
      <c r="F77" s="173"/>
      <c r="G77" s="151">
        <f>G78+G80</f>
        <v>0</v>
      </c>
      <c r="H77" s="151">
        <f t="shared" ref="H77:L77" si="32">H78+H80</f>
        <v>0</v>
      </c>
      <c r="I77" s="151">
        <f t="shared" si="32"/>
        <v>0</v>
      </c>
      <c r="J77" s="151">
        <f t="shared" si="32"/>
        <v>0</v>
      </c>
      <c r="K77" s="151">
        <f t="shared" si="32"/>
        <v>0</v>
      </c>
      <c r="L77" s="177">
        <f t="shared" si="32"/>
        <v>0</v>
      </c>
      <c r="N77" s="915"/>
      <c r="O77" s="916"/>
      <c r="P77" s="916"/>
      <c r="Q77" s="916"/>
      <c r="R77" s="916"/>
      <c r="S77" s="916"/>
      <c r="T77" s="916"/>
      <c r="U77" s="916"/>
      <c r="V77" s="917"/>
    </row>
    <row r="78" spans="3:22" ht="16" customHeight="1" x14ac:dyDescent="0.35">
      <c r="C78" s="778" t="s">
        <v>340</v>
      </c>
      <c r="F78" s="173"/>
      <c r="G78" s="864"/>
      <c r="H78" s="864"/>
      <c r="I78" s="151">
        <f>'8 RAHOITUSSUUNNITELMA'!H51</f>
        <v>0</v>
      </c>
      <c r="J78" s="151">
        <f>'8 RAHOITUSSUUNNITELMA'!I51</f>
        <v>0</v>
      </c>
      <c r="K78" s="151">
        <f>'8 RAHOITUSSUUNNITELMA'!J51</f>
        <v>0</v>
      </c>
      <c r="L78" s="177">
        <f>'8 RAHOITUSSUUNNITELMA'!K51</f>
        <v>0</v>
      </c>
      <c r="N78" s="915"/>
      <c r="O78" s="916"/>
      <c r="P78" s="916"/>
      <c r="Q78" s="916"/>
      <c r="R78" s="916"/>
      <c r="S78" s="916"/>
      <c r="T78" s="916"/>
      <c r="U78" s="916"/>
      <c r="V78" s="917"/>
    </row>
    <row r="79" spans="3:22" ht="16" customHeight="1" x14ac:dyDescent="0.35">
      <c r="C79" s="653" t="s">
        <v>268</v>
      </c>
      <c r="F79" s="173"/>
      <c r="G79" s="625">
        <f>'8 RAHOITUSSUUNNITELMA'!F52</f>
        <v>0</v>
      </c>
      <c r="H79" s="625">
        <f>'8 RAHOITUSSUUNNITELMA'!G52</f>
        <v>0</v>
      </c>
      <c r="I79" s="625">
        <f>'8 RAHOITUSSUUNNITELMA'!H52</f>
        <v>0</v>
      </c>
      <c r="J79" s="625">
        <f>'8 RAHOITUSSUUNNITELMA'!I52</f>
        <v>0</v>
      </c>
      <c r="K79" s="625">
        <f>'8 RAHOITUSSUUNNITELMA'!J52</f>
        <v>0</v>
      </c>
      <c r="L79" s="660">
        <f>'8 RAHOITUSSUUNNITELMA'!K52</f>
        <v>0</v>
      </c>
      <c r="N79" s="919"/>
      <c r="O79" s="916"/>
      <c r="P79" s="916"/>
      <c r="Q79" s="916"/>
      <c r="R79" s="916"/>
      <c r="S79" s="916"/>
      <c r="T79" s="916"/>
      <c r="U79" s="916"/>
      <c r="V79" s="917"/>
    </row>
    <row r="80" spans="3:22" ht="16" customHeight="1" x14ac:dyDescent="0.35">
      <c r="C80" s="778" t="s">
        <v>893</v>
      </c>
      <c r="F80" s="173"/>
      <c r="G80" s="864"/>
      <c r="H80" s="864"/>
      <c r="I80" s="151">
        <f>'AT4 Lainat'!S42+'AT4 Lainat'!S43</f>
        <v>0</v>
      </c>
      <c r="J80" s="151">
        <f>'AT4 Lainat'!Y39+'AT4 Lainat'!Y43+'AT4 Lainat'!Y46</f>
        <v>0</v>
      </c>
      <c r="K80" s="151">
        <f>'AT4 Lainat'!AE39+'AT4 Lainat'!AE43+'AT4 Lainat'!AE46+'AT4 Lainat'!AE49</f>
        <v>0</v>
      </c>
      <c r="L80" s="177">
        <f>'AT4 Lainat'!AK39+'AT4 Lainat'!AK43+'AT4 Lainat'!AK46+'AT4 Lainat'!AK49+'AT4 Lainat'!AK52</f>
        <v>0</v>
      </c>
      <c r="N80" s="915"/>
      <c r="O80" s="916"/>
      <c r="P80" s="916"/>
      <c r="Q80" s="916"/>
      <c r="R80" s="916"/>
      <c r="S80" s="916"/>
      <c r="T80" s="916"/>
      <c r="U80" s="916"/>
      <c r="V80" s="917"/>
    </row>
    <row r="81" spans="3:22" ht="16" customHeight="1" x14ac:dyDescent="0.35">
      <c r="C81" s="248" t="s">
        <v>267</v>
      </c>
      <c r="F81" s="173"/>
      <c r="G81" s="151">
        <f t="shared" ref="G81:H81" si="33">G82+G84+G85+G87</f>
        <v>0</v>
      </c>
      <c r="H81" s="151">
        <f t="shared" si="33"/>
        <v>0</v>
      </c>
      <c r="I81" s="151">
        <f>I82+I84+I85+I87</f>
        <v>0</v>
      </c>
      <c r="J81" s="151">
        <f t="shared" ref="J81:L81" si="34">J82+J84+J85+J87</f>
        <v>0</v>
      </c>
      <c r="K81" s="151">
        <f t="shared" si="34"/>
        <v>0</v>
      </c>
      <c r="L81" s="177">
        <f t="shared" si="34"/>
        <v>0</v>
      </c>
      <c r="N81" s="915"/>
      <c r="O81" s="916"/>
      <c r="P81" s="916"/>
      <c r="Q81" s="916"/>
      <c r="R81" s="916"/>
      <c r="S81" s="916"/>
      <c r="T81" s="916"/>
      <c r="U81" s="916"/>
      <c r="V81" s="917"/>
    </row>
    <row r="82" spans="3:22" ht="14.5" x14ac:dyDescent="0.35">
      <c r="C82" s="780" t="s">
        <v>906</v>
      </c>
      <c r="F82" s="173"/>
      <c r="G82" s="864"/>
      <c r="H82" s="864"/>
      <c r="I82" s="151">
        <f>I83*('5 KUSTANNUKSET'!G13+'5 KUSTANNUKSET'!G14+'5 KUSTANNUKSET'!G17/12+'5 KUSTANNUKSET'!G22/12+'5 KUSTANNUKSET'!G24/12+'5 KUSTANNUKSET'!G28/12)</f>
        <v>0</v>
      </c>
      <c r="J82" s="151">
        <f>J83*('5 KUSTANNUKSET'!I13+'5 KUSTANNUKSET'!I14+'5 KUSTANNUKSET'!I17/12+'5 KUSTANNUKSET'!I22/12+'5 KUSTANNUKSET'!I24/12+'5 KUSTANNUKSET'!I28/12)</f>
        <v>0</v>
      </c>
      <c r="K82" s="151">
        <f>K83*('5 KUSTANNUKSET'!K13+'5 KUSTANNUKSET'!K14+'5 KUSTANNUKSET'!K17/12+'5 KUSTANNUKSET'!K22/12+'5 KUSTANNUKSET'!K24/12+'5 KUSTANNUKSET'!K28/12)</f>
        <v>0</v>
      </c>
      <c r="L82" s="177">
        <f>L83*('5 KUSTANNUKSET'!M13+'5 KUSTANNUKSET'!M14+'5 KUSTANNUKSET'!M17/12+'5 KUSTANNUKSET'!M22/12+'5 KUSTANNUKSET'!M24/12+'5 KUSTANNUKSET'!M28/12)</f>
        <v>0</v>
      </c>
      <c r="M82" s="129"/>
      <c r="N82" s="920"/>
      <c r="O82" s="918"/>
      <c r="P82" s="916"/>
      <c r="Q82" s="916"/>
      <c r="R82" s="916"/>
      <c r="S82" s="916"/>
      <c r="T82" s="916"/>
      <c r="U82" s="916"/>
      <c r="V82" s="917"/>
    </row>
    <row r="83" spans="3:22" ht="16" customHeight="1" x14ac:dyDescent="0.35">
      <c r="C83" s="653" t="s">
        <v>635</v>
      </c>
      <c r="F83" s="173"/>
      <c r="G83" s="318"/>
      <c r="H83" s="318"/>
      <c r="I83" s="908">
        <v>0.25</v>
      </c>
      <c r="J83" s="908">
        <f>I83</f>
        <v>0.25</v>
      </c>
      <c r="K83" s="908">
        <f t="shared" ref="K83:L83" si="35">J83</f>
        <v>0.25</v>
      </c>
      <c r="L83" s="909">
        <f t="shared" si="35"/>
        <v>0.25</v>
      </c>
      <c r="N83" s="915"/>
      <c r="O83" s="916"/>
      <c r="P83" s="916"/>
      <c r="Q83" s="916"/>
      <c r="R83" s="916"/>
      <c r="S83" s="916"/>
      <c r="T83" s="916"/>
      <c r="U83" s="916"/>
      <c r="V83" s="917"/>
    </row>
    <row r="84" spans="3:22" ht="16" customHeight="1" x14ac:dyDescent="0.35">
      <c r="C84" s="778" t="s">
        <v>894</v>
      </c>
      <c r="F84" s="173"/>
      <c r="G84" s="910"/>
      <c r="H84" s="910"/>
      <c r="I84" s="240">
        <f>'9 KASSABUDJETTI'!$AT$25*('5 KUSTANNUKSET'!G13+'5 KUSTANNUKSET'!G14+'5 KUSTANNUKSET'!G17/12+'5 KUSTANNUKSET'!G22/12+'5 KUSTANNUKSET'!G24/12+'5 KUSTANNUKSET'!G28/12)</f>
        <v>0</v>
      </c>
      <c r="J84" s="240">
        <f>'9 KASSABUDJETTI'!$AT$25*('5 KUSTANNUKSET'!I13+'5 KUSTANNUKSET'!I14+'5 KUSTANNUKSET'!I17/12+'5 KUSTANNUKSET'!I22/12+'5 KUSTANNUKSET'!I24/12+'5 KUSTANNUKSET'!I28/12)</f>
        <v>0</v>
      </c>
      <c r="K84" s="240">
        <f>'9 KASSABUDJETTI'!$AT$25*('5 KUSTANNUKSET'!K13+'5 KUSTANNUKSET'!K14+'5 KUSTANNUKSET'!K17/12+'5 KUSTANNUKSET'!K22/12+'5 KUSTANNUKSET'!K24/12+'5 KUSTANNUKSET'!K28/12)</f>
        <v>0</v>
      </c>
      <c r="L84" s="260">
        <f>'9 KASSABUDJETTI'!$AT$25*('5 KUSTANNUKSET'!M13+'5 KUSTANNUKSET'!M14+'5 KUSTANNUKSET'!M17/12+'5 KUSTANNUKSET'!M22/12+'5 KUSTANNUKSET'!M24/12+'5 KUSTANNUKSET'!M28/12)</f>
        <v>0</v>
      </c>
      <c r="N84" s="915"/>
      <c r="O84" s="916"/>
      <c r="P84" s="916"/>
      <c r="Q84" s="916"/>
      <c r="R84" s="916"/>
      <c r="S84" s="916"/>
      <c r="T84" s="916"/>
      <c r="U84" s="916"/>
      <c r="V84" s="917"/>
    </row>
    <row r="85" spans="3:22" ht="16" customHeight="1" x14ac:dyDescent="0.35">
      <c r="C85" s="778" t="s">
        <v>895</v>
      </c>
      <c r="F85" s="173"/>
      <c r="G85" s="910"/>
      <c r="H85" s="910"/>
      <c r="I85" s="53">
        <f>IF('2 &amp; 7 TULOSSUUNNITELMA'!J11=0,0,'2 &amp; 7 TULOSSUUNNITELMA'!J11*I86)</f>
        <v>0</v>
      </c>
      <c r="J85" s="53">
        <f>IF('2 &amp; 7 TULOSSUUNNITELMA'!L11=0,0,'2 &amp; 7 TULOSSUUNNITELMA'!L11*'3 TASE'!J86)</f>
        <v>0</v>
      </c>
      <c r="K85" s="53">
        <f>IF('2 &amp; 7 TULOSSUUNNITELMA'!N11=0,0,'2 &amp; 7 TULOSSUUNNITELMA'!N11*'3 TASE'!K86)</f>
        <v>0</v>
      </c>
      <c r="L85" s="188">
        <f>IF('2 &amp; 7 TULOSSUUNNITELMA'!P11=0,0,'2 &amp; 7 TULOSSUUNNITELMA'!P11*'3 TASE'!L86)</f>
        <v>0</v>
      </c>
      <c r="N85" s="915"/>
      <c r="O85" s="916"/>
      <c r="P85" s="916"/>
      <c r="Q85" s="916"/>
      <c r="R85" s="916"/>
      <c r="S85" s="916"/>
      <c r="T85" s="916"/>
      <c r="U85" s="916"/>
      <c r="V85" s="917"/>
    </row>
    <row r="86" spans="3:22" ht="16" customHeight="1" x14ac:dyDescent="0.35">
      <c r="C86" s="653" t="s">
        <v>269</v>
      </c>
      <c r="F86" s="173"/>
      <c r="G86" s="317">
        <f>IF('2 &amp; 7 TULOSSUUNNITELMA'!F11=0,0,G85/'2 &amp; 7 TULOSSUUNNITELMA'!F11)</f>
        <v>0</v>
      </c>
      <c r="H86" s="317">
        <f>IF('2 &amp; 7 TULOSSUUNNITELMA'!H11=0,0,H85/'2 &amp; 7 TULOSSUUNNITELMA'!H11)</f>
        <v>0</v>
      </c>
      <c r="I86" s="906">
        <f>H86</f>
        <v>0</v>
      </c>
      <c r="J86" s="906">
        <f t="shared" ref="J86:L86" si="36">I86</f>
        <v>0</v>
      </c>
      <c r="K86" s="906">
        <f t="shared" si="36"/>
        <v>0</v>
      </c>
      <c r="L86" s="907">
        <f t="shared" si="36"/>
        <v>0</v>
      </c>
      <c r="N86" s="915"/>
      <c r="O86" s="916"/>
      <c r="P86" s="916"/>
      <c r="Q86" s="916"/>
      <c r="R86" s="916"/>
      <c r="S86" s="916"/>
      <c r="T86" s="916"/>
      <c r="U86" s="916"/>
      <c r="V86" s="917"/>
    </row>
    <row r="87" spans="3:22" ht="16" customHeight="1" x14ac:dyDescent="0.35">
      <c r="C87" s="778" t="s">
        <v>896</v>
      </c>
      <c r="F87" s="173"/>
      <c r="G87" s="864"/>
      <c r="H87" s="864"/>
      <c r="I87" s="864">
        <f>H87</f>
        <v>0</v>
      </c>
      <c r="J87" s="864">
        <f t="shared" ref="J87:L87" si="37">I87</f>
        <v>0</v>
      </c>
      <c r="K87" s="864">
        <f t="shared" si="37"/>
        <v>0</v>
      </c>
      <c r="L87" s="899">
        <f t="shared" si="37"/>
        <v>0</v>
      </c>
      <c r="N87" s="915"/>
      <c r="O87" s="916"/>
      <c r="P87" s="916"/>
      <c r="Q87" s="916"/>
      <c r="R87" s="916"/>
      <c r="S87" s="916"/>
      <c r="T87" s="916"/>
      <c r="U87" s="916"/>
      <c r="V87" s="917"/>
    </row>
    <row r="88" spans="3:22" ht="16" customHeight="1" x14ac:dyDescent="0.35">
      <c r="C88" s="248" t="s">
        <v>270</v>
      </c>
      <c r="F88" s="173"/>
      <c r="G88" s="151">
        <f>G89+G90+G91</f>
        <v>0</v>
      </c>
      <c r="H88" s="151">
        <f t="shared" ref="H88" si="38">H89+H90+H91</f>
        <v>0</v>
      </c>
      <c r="I88" s="151">
        <f>I89+I90+I91</f>
        <v>0</v>
      </c>
      <c r="J88" s="151">
        <f t="shared" ref="J88:L88" si="39">J89+J90+J91</f>
        <v>0</v>
      </c>
      <c r="K88" s="151">
        <f t="shared" si="39"/>
        <v>0</v>
      </c>
      <c r="L88" s="177">
        <f t="shared" si="39"/>
        <v>0</v>
      </c>
      <c r="N88" s="915"/>
      <c r="O88" s="916"/>
      <c r="P88" s="916"/>
      <c r="Q88" s="916"/>
      <c r="R88" s="916"/>
      <c r="S88" s="916"/>
      <c r="T88" s="916"/>
      <c r="U88" s="916"/>
      <c r="V88" s="917"/>
    </row>
    <row r="89" spans="3:22" ht="16" customHeight="1" x14ac:dyDescent="0.35">
      <c r="C89" s="778" t="s">
        <v>897</v>
      </c>
      <c r="F89" s="173"/>
      <c r="G89" s="864"/>
      <c r="H89" s="864"/>
      <c r="I89" s="864"/>
      <c r="J89" s="864"/>
      <c r="K89" s="864"/>
      <c r="L89" s="899"/>
      <c r="N89" s="915"/>
      <c r="O89" s="916"/>
      <c r="P89" s="916"/>
      <c r="Q89" s="916"/>
      <c r="R89" s="916"/>
      <c r="S89" s="916"/>
      <c r="T89" s="916"/>
      <c r="U89" s="916"/>
      <c r="V89" s="917"/>
    </row>
    <row r="90" spans="3:22" ht="16" customHeight="1" x14ac:dyDescent="0.35">
      <c r="C90" s="778" t="s">
        <v>898</v>
      </c>
      <c r="F90" s="173"/>
      <c r="G90" s="864"/>
      <c r="H90" s="864"/>
      <c r="I90" s="864">
        <f>IF('5 KUSTANNUKSET'!G15&lt;12.5,'5 KUSTANNUKSET'!G12*10%,'5 KUSTANNUKSET'!G12*14.4%)+IF('5 KUSTANNUKSET'!G21&lt;12.5,'5 KUSTANNUKSET'!G17*10%,'5 KUSTANNUKSET'!G17*14.4%)+IF('5 KUSTANNUKSET'!G27&lt;12.5,'5 KUSTANNUKSET'!G24*10%,'5 KUSTANNUKSET'!G24*14.4%)</f>
        <v>0</v>
      </c>
      <c r="J90" s="864">
        <f>IF('5 KUSTANNUKSET'!I15&lt;12.5,'5 KUSTANNUKSET'!I12*10%,'5 KUSTANNUKSET'!I12*14.4%)+IF('5 KUSTANNUKSET'!I21&lt;12.5,'5 KUSTANNUKSET'!I17*10%,'5 KUSTANNUKSET'!I17*14.4%)+IF('5 KUSTANNUKSET'!I27&lt;12.5,'5 KUSTANNUKSET'!I24*10%,'5 KUSTANNUKSET'!I24*14.4%)</f>
        <v>0</v>
      </c>
      <c r="K90" s="864">
        <f>IF('5 KUSTANNUKSET'!K15&lt;12.5,'5 KUSTANNUKSET'!K12*10%,'5 KUSTANNUKSET'!K12*14.4%)+IF('5 KUSTANNUKSET'!K21&lt;12.5,'5 KUSTANNUKSET'!K17*10%,'5 KUSTANNUKSET'!K17*14.4%)+IF('5 KUSTANNUKSET'!K27&lt;12.5,'5 KUSTANNUKSET'!K24*10%,'5 KUSTANNUKSET'!K24*14.4%)</f>
        <v>0</v>
      </c>
      <c r="L90" s="899">
        <f>IF('5 KUSTANNUKSET'!M15&lt;12.5,'5 KUSTANNUKSET'!M12*10%,'5 KUSTANNUKSET'!M12*14.4%)+IF('5 KUSTANNUKSET'!M21&lt;12.5,'5 KUSTANNUKSET'!M17*10%,'5 KUSTANNUKSET'!M17*14.4%)+IF('5 KUSTANNUKSET'!M27&lt;12.5,'5 KUSTANNUKSET'!M24*10%,'5 KUSTANNUKSET'!M24*14.4%)</f>
        <v>0</v>
      </c>
      <c r="N90" s="915"/>
      <c r="O90" s="916"/>
      <c r="P90" s="918"/>
      <c r="Q90" s="916"/>
      <c r="R90" s="916"/>
      <c r="S90" s="916"/>
      <c r="T90" s="916"/>
      <c r="U90" s="916"/>
      <c r="V90" s="917"/>
    </row>
    <row r="91" spans="3:22" ht="16" customHeight="1" x14ac:dyDescent="0.35">
      <c r="C91" s="778" t="s">
        <v>899</v>
      </c>
      <c r="F91" s="173"/>
      <c r="G91" s="864"/>
      <c r="H91" s="864"/>
      <c r="I91" s="151">
        <f>I90*I92</f>
        <v>0</v>
      </c>
      <c r="J91" s="151">
        <f>J90*J92</f>
        <v>0</v>
      </c>
      <c r="K91" s="151">
        <f t="shared" ref="K91:L91" si="40">K90*K92</f>
        <v>0</v>
      </c>
      <c r="L91" s="177">
        <f t="shared" si="40"/>
        <v>0</v>
      </c>
      <c r="N91" s="915"/>
      <c r="O91" s="916"/>
      <c r="P91" s="916"/>
      <c r="Q91" s="916"/>
      <c r="R91" s="916"/>
      <c r="S91" s="916"/>
      <c r="T91" s="916"/>
      <c r="U91" s="916"/>
      <c r="V91" s="917"/>
    </row>
    <row r="92" spans="3:22" ht="16" customHeight="1" x14ac:dyDescent="0.35">
      <c r="C92" s="653" t="s">
        <v>271</v>
      </c>
      <c r="F92" s="173"/>
      <c r="G92" s="317">
        <f>IF(G90=0,0,G91/G90)</f>
        <v>0</v>
      </c>
      <c r="H92" s="317">
        <f>IF(H90=0,0,H91/H90)</f>
        <v>0</v>
      </c>
      <c r="I92" s="908">
        <v>0.19789999999999999</v>
      </c>
      <c r="J92" s="908">
        <f>I92</f>
        <v>0.19789999999999999</v>
      </c>
      <c r="K92" s="908">
        <f>J92</f>
        <v>0.19789999999999999</v>
      </c>
      <c r="L92" s="909">
        <f>K92</f>
        <v>0.19789999999999999</v>
      </c>
      <c r="N92" s="915"/>
      <c r="O92" s="916"/>
      <c r="P92" s="916"/>
      <c r="Q92" s="916"/>
      <c r="R92" s="916"/>
      <c r="S92" s="916"/>
      <c r="T92" s="916"/>
      <c r="U92" s="916"/>
      <c r="V92" s="917"/>
    </row>
    <row r="93" spans="3:22" ht="16" customHeight="1" thickBot="1" x14ac:dyDescent="0.4">
      <c r="C93" s="781" t="s">
        <v>272</v>
      </c>
      <c r="D93" s="259"/>
      <c r="E93" s="259"/>
      <c r="F93" s="261"/>
      <c r="G93" s="902"/>
      <c r="H93" s="902"/>
      <c r="I93" s="902">
        <f>'8 RAHOITUSSUUNNITELMA'!H53</f>
        <v>0</v>
      </c>
      <c r="J93" s="902">
        <f>'8 RAHOITUSSUUNNITELMA'!I53</f>
        <v>0</v>
      </c>
      <c r="K93" s="902">
        <f>'8 RAHOITUSSUUNNITELMA'!J53</f>
        <v>0</v>
      </c>
      <c r="L93" s="903">
        <f>'8 RAHOITUSSUUNNITELMA'!K53</f>
        <v>0</v>
      </c>
      <c r="N93" s="921"/>
      <c r="O93" s="922"/>
      <c r="P93" s="922"/>
      <c r="Q93" s="922"/>
      <c r="R93" s="922"/>
      <c r="S93" s="922"/>
      <c r="T93" s="922"/>
      <c r="U93" s="922"/>
      <c r="V93" s="923"/>
    </row>
    <row r="94" spans="3:22" ht="5.15" customHeight="1" thickBot="1" x14ac:dyDescent="0.4"/>
    <row r="95" spans="3:22" ht="16" customHeight="1" thickBot="1" x14ac:dyDescent="0.4">
      <c r="C95" s="262" t="s">
        <v>273</v>
      </c>
      <c r="D95" s="265"/>
      <c r="E95" s="265"/>
      <c r="F95" s="239"/>
      <c r="G95" s="217">
        <f>G53+G59+G63+G64+G72</f>
        <v>0</v>
      </c>
      <c r="H95" s="217">
        <f>H53+H59+H63+H64+H72</f>
        <v>0</v>
      </c>
      <c r="I95" s="217">
        <f>I53+I59+I63+I64+I72</f>
        <v>0</v>
      </c>
      <c r="J95" s="217">
        <f>J53+J59+J63+J64+J72</f>
        <v>0</v>
      </c>
      <c r="K95" s="217">
        <f t="shared" ref="K95:L95" si="41">K53+K59+K63+K64+K72</f>
        <v>0</v>
      </c>
      <c r="L95" s="218">
        <f t="shared" si="41"/>
        <v>0</v>
      </c>
      <c r="N95" s="744" t="str">
        <f>IF(G48&lt;&gt;G95,"TARKISTA TASEEN LOPPUSUMMAT",IF(H48&lt;&gt;H95,"TARKISTA TASEEN LOPPUSUMMAT",IF(I48&lt;&gt;I95,"TARKISTA TASEEN LOPPUSUMMAT",IF(J48&lt;&gt;J95,"TARKISTA TASEEN LOPPUSUMMAT",IF(K48&lt;&gt;K95,"TARKISTA TASEEN LOPPUSUMMAT",IF(L48&lt;&gt;L95,"TARKISTA TASEEN LOPPUSUMMAT",""))))))</f>
        <v/>
      </c>
    </row>
    <row r="96" spans="3:22" ht="18" customHeight="1" x14ac:dyDescent="0.35">
      <c r="C96" s="214" t="s">
        <v>627</v>
      </c>
      <c r="D96" s="271"/>
      <c r="E96" s="271"/>
      <c r="F96" s="272"/>
      <c r="G96" s="215">
        <f t="shared" ref="G96:L96" si="42">G48-G95</f>
        <v>0</v>
      </c>
      <c r="H96" s="215">
        <f t="shared" si="42"/>
        <v>0</v>
      </c>
      <c r="I96" s="215">
        <f>I48-I95</f>
        <v>0</v>
      </c>
      <c r="J96" s="215">
        <f t="shared" si="42"/>
        <v>0</v>
      </c>
      <c r="K96" s="215">
        <f t="shared" si="42"/>
        <v>0</v>
      </c>
      <c r="L96" s="215">
        <f t="shared" si="42"/>
        <v>0</v>
      </c>
    </row>
    <row r="98" spans="3:3" ht="16" customHeight="1" x14ac:dyDescent="0.35">
      <c r="C98" s="735" t="s">
        <v>877</v>
      </c>
    </row>
    <row r="100" spans="3:3" ht="16" customHeight="1" x14ac:dyDescent="0.35">
      <c r="C100" s="197" t="s">
        <v>578</v>
      </c>
    </row>
    <row r="101" spans="3:3" ht="16" customHeight="1" x14ac:dyDescent="0.35">
      <c r="C101" s="984" t="s">
        <v>579</v>
      </c>
    </row>
    <row r="102" spans="3:3" ht="16" customHeight="1" x14ac:dyDescent="0.35">
      <c r="C102" s="984"/>
    </row>
    <row r="103" spans="3:3" ht="16" customHeight="1" x14ac:dyDescent="0.35">
      <c r="C103" s="984"/>
    </row>
  </sheetData>
  <sheetProtection algorithmName="SHA-512" hashValue="O+mVMFjayfGZKoRzABTSwxjWukKYAAMpOiO4oOxCRzlRwkRyeOSIWItyBhRgK9Tx5hj+YEGmlHxkwysA64o70w==" saltValue="w8qd0S3IgxsksFNKf3AKJg==" spinCount="100000" sheet="1" objects="1" scenarios="1" formatCells="0" selectLockedCells="1"/>
  <mergeCells count="7">
    <mergeCell ref="C101:C103"/>
    <mergeCell ref="N12:Q12"/>
    <mergeCell ref="N20:Q20"/>
    <mergeCell ref="N24:Q24"/>
    <mergeCell ref="N28:Q28"/>
    <mergeCell ref="C37:F37"/>
    <mergeCell ref="C40:F40"/>
  </mergeCells>
  <pageMargins left="0.7" right="0.7" top="0.75" bottom="0.75" header="0.3" footer="0.3"/>
  <pageSetup orientation="portrait" r:id="rId1"/>
  <ignoredErrors>
    <ignoredError sqref="J45:L45 I38:I42 I36:L37 J38:L42 H56 K35:L35 K48:L48" evalError="1"/>
    <ignoredError sqref="I70:L70"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E4E8-2342-4859-BB20-03E53C100CD2}">
  <sheetPr codeName="Taul13"/>
  <dimension ref="B1:U57"/>
  <sheetViews>
    <sheetView workbookViewId="0">
      <selection activeCell="C11" sqref="C11"/>
    </sheetView>
  </sheetViews>
  <sheetFormatPr defaultColWidth="9.1796875" defaultRowHeight="14.5" x14ac:dyDescent="0.35"/>
  <cols>
    <col min="1" max="1" width="2.7265625" style="5" customWidth="1"/>
    <col min="2" max="2" width="10.7265625" style="5" customWidth="1"/>
    <col min="3" max="3" width="45.7265625" style="5" customWidth="1"/>
    <col min="4" max="4" width="13.7265625" style="5" customWidth="1"/>
    <col min="5" max="18" width="10.7265625" style="5" customWidth="1"/>
    <col min="19" max="16384" width="9.1796875" style="5"/>
  </cols>
  <sheetData>
    <row r="1" spans="2:21" ht="15.75" customHeight="1" x14ac:dyDescent="0.35"/>
    <row r="2" spans="2:21" ht="15.75" customHeight="1" x14ac:dyDescent="0.5">
      <c r="B2" s="822" t="s">
        <v>626</v>
      </c>
      <c r="C2" s="565" t="s">
        <v>592</v>
      </c>
    </row>
    <row r="4" spans="2:21" x14ac:dyDescent="0.35">
      <c r="C4" s="14" t="s">
        <v>867</v>
      </c>
      <c r="G4" s="14" t="s">
        <v>868</v>
      </c>
    </row>
    <row r="5" spans="2:21" x14ac:dyDescent="0.35">
      <c r="C5" s="1015" t="str">
        <f>'1 INVESTOINTISUUNNITELMA'!D5</f>
        <v>Malliyritys Oy</v>
      </c>
      <c r="D5" s="1015"/>
      <c r="G5" s="1015" t="str">
        <f>'1 INVESTOINTISUUNNITELMA'!D8</f>
        <v>Aki Laaksonen</v>
      </c>
      <c r="H5" s="1015"/>
      <c r="I5" s="1015"/>
      <c r="J5" s="1015"/>
      <c r="K5" s="1015"/>
    </row>
    <row r="6" spans="2:21" x14ac:dyDescent="0.35">
      <c r="F6" s="3"/>
    </row>
    <row r="7" spans="2:21" ht="15" customHeight="1" thickBot="1" x14ac:dyDescent="0.45">
      <c r="C7" s="433" t="s">
        <v>563</v>
      </c>
      <c r="D7" s="1059" t="s">
        <v>566</v>
      </c>
      <c r="E7" s="1061" t="s">
        <v>619</v>
      </c>
      <c r="F7" s="1063" t="s">
        <v>567</v>
      </c>
      <c r="G7" s="1065" t="s">
        <v>569</v>
      </c>
      <c r="H7" s="1065"/>
      <c r="I7" s="1065"/>
      <c r="J7" s="1065"/>
      <c r="K7" s="1065"/>
      <c r="L7" s="1065"/>
      <c r="M7" s="1065"/>
      <c r="N7" s="1065"/>
      <c r="O7" s="1065"/>
      <c r="P7" s="1065"/>
      <c r="Q7" s="1065"/>
      <c r="R7" s="1065"/>
      <c r="S7" s="51"/>
    </row>
    <row r="8" spans="2:21" x14ac:dyDescent="0.35">
      <c r="C8" s="434"/>
      <c r="D8" s="1059"/>
      <c r="E8" s="1061"/>
      <c r="F8" s="1063"/>
      <c r="G8" s="1034" t="s">
        <v>447</v>
      </c>
      <c r="H8" s="1034"/>
      <c r="I8" s="1035"/>
      <c r="J8" s="1033" t="s">
        <v>444</v>
      </c>
      <c r="K8" s="1034"/>
      <c r="L8" s="1035"/>
      <c r="M8" s="1033" t="s">
        <v>445</v>
      </c>
      <c r="N8" s="1034"/>
      <c r="O8" s="1035"/>
      <c r="P8" s="1066" t="s">
        <v>446</v>
      </c>
      <c r="Q8" s="1066"/>
      <c r="R8" s="1066"/>
      <c r="S8" s="51"/>
    </row>
    <row r="9" spans="2:21" ht="17" x14ac:dyDescent="0.4">
      <c r="C9" s="435"/>
      <c r="D9" s="1059"/>
      <c r="E9" s="1061"/>
      <c r="F9" s="1063"/>
      <c r="G9" s="1037">
        <f>'1 INVESTOINTISUUNNITELMA'!E16</f>
        <v>2026</v>
      </c>
      <c r="H9" s="1037"/>
      <c r="I9" s="1038"/>
      <c r="J9" s="1036">
        <f>'1 INVESTOINTISUUNNITELMA'!F16</f>
        <v>2027</v>
      </c>
      <c r="K9" s="1037"/>
      <c r="L9" s="1038"/>
      <c r="M9" s="1036">
        <f>'1 INVESTOINTISUUNNITELMA'!G16</f>
        <v>2028</v>
      </c>
      <c r="N9" s="1037"/>
      <c r="O9" s="1038"/>
      <c r="P9" s="1037">
        <f>'1 INVESTOINTISUUNNITELMA'!H16</f>
        <v>2029</v>
      </c>
      <c r="Q9" s="1037"/>
      <c r="R9" s="1037"/>
      <c r="S9" s="51"/>
    </row>
    <row r="10" spans="2:21" ht="15" thickBot="1" x14ac:dyDescent="0.4">
      <c r="C10" s="221" t="s">
        <v>434</v>
      </c>
      <c r="D10" s="1060"/>
      <c r="E10" s="1062"/>
      <c r="F10" s="1064"/>
      <c r="G10" s="1043" t="s">
        <v>568</v>
      </c>
      <c r="H10" s="1044"/>
      <c r="I10" s="228" t="s">
        <v>163</v>
      </c>
      <c r="J10" s="1067" t="s">
        <v>568</v>
      </c>
      <c r="K10" s="1044"/>
      <c r="L10" s="228" t="s">
        <v>163</v>
      </c>
      <c r="M10" s="1067" t="s">
        <v>568</v>
      </c>
      <c r="N10" s="1044"/>
      <c r="O10" s="228" t="s">
        <v>163</v>
      </c>
      <c r="P10" s="1043" t="s">
        <v>568</v>
      </c>
      <c r="Q10" s="1044"/>
      <c r="R10" s="226" t="s">
        <v>163</v>
      </c>
      <c r="S10" s="51"/>
    </row>
    <row r="11" spans="2:21" x14ac:dyDescent="0.35">
      <c r="C11" s="924" t="s">
        <v>601</v>
      </c>
      <c r="D11" s="869"/>
      <c r="E11" s="925"/>
      <c r="F11" s="926"/>
      <c r="G11" s="1057"/>
      <c r="H11" s="1058"/>
      <c r="I11" s="794">
        <f>IF(D11=0,0,($D11+G11-G11/4)*$F11)</f>
        <v>0</v>
      </c>
      <c r="J11" s="1055">
        <f>IF(E11=0,0,IF(E11&lt;2,D11,(D11)/(E11-1)))</f>
        <v>0</v>
      </c>
      <c r="K11" s="1056"/>
      <c r="L11" s="794">
        <f>IF(J11=0,0,($D11-J11/4)*$F11)</f>
        <v>0</v>
      </c>
      <c r="M11" s="1055">
        <f>IF(E11=0,0,IF($D11-$J11&gt;J11,J11,$D11-$J11))</f>
        <v>0</v>
      </c>
      <c r="N11" s="1056"/>
      <c r="O11" s="794">
        <f t="shared" ref="O11:O18" si="0">IF(M11=0,0,($D11-J11-M11/4)*$F11)</f>
        <v>0</v>
      </c>
      <c r="P11" s="1053">
        <f t="shared" ref="P11:P17" si="1">IF(E11=0,0,IF($D11-$J11-M11&gt;M11,M11,$D11-$J11-M11))</f>
        <v>0</v>
      </c>
      <c r="Q11" s="1054"/>
      <c r="R11" s="799">
        <f t="shared" ref="R11:R18" si="2">IF(P11=0,0,($D11-J11-M11-P11/4)*$F11)</f>
        <v>0</v>
      </c>
      <c r="S11" s="51"/>
      <c r="T11" s="353"/>
      <c r="U11" s="129"/>
    </row>
    <row r="12" spans="2:21" x14ac:dyDescent="0.35">
      <c r="C12" s="927"/>
      <c r="D12" s="864"/>
      <c r="E12" s="910"/>
      <c r="F12" s="928"/>
      <c r="G12" s="1039"/>
      <c r="H12" s="1040"/>
      <c r="I12" s="795">
        <f t="shared" ref="I12:I17" si="3">IF(D12=0,0,($D12+G12-G12/4)*$F12)</f>
        <v>0</v>
      </c>
      <c r="J12" s="1045">
        <f t="shared" ref="J12:J17" si="4">IF(E12=0,0,IF(E12&lt;2,D12,(D12)/(E12-1)))</f>
        <v>0</v>
      </c>
      <c r="K12" s="1046"/>
      <c r="L12" s="795">
        <f t="shared" ref="L12:L18" si="5">IF(J12=0,0,($D12-J12/4)*$F12)</f>
        <v>0</v>
      </c>
      <c r="M12" s="1045">
        <f t="shared" ref="M12:M17" si="6">IF(E12=0,0,IF($D12-$J12&gt;J12,J12,$D12-$J12))</f>
        <v>0</v>
      </c>
      <c r="N12" s="1046"/>
      <c r="O12" s="795">
        <f t="shared" si="0"/>
        <v>0</v>
      </c>
      <c r="P12" s="1051">
        <f t="shared" si="1"/>
        <v>0</v>
      </c>
      <c r="Q12" s="1046"/>
      <c r="R12" s="800">
        <f t="shared" si="2"/>
        <v>0</v>
      </c>
      <c r="S12" s="51"/>
    </row>
    <row r="13" spans="2:21" x14ac:dyDescent="0.35">
      <c r="C13" s="927"/>
      <c r="D13" s="864"/>
      <c r="E13" s="910"/>
      <c r="F13" s="928"/>
      <c r="G13" s="1039"/>
      <c r="H13" s="1040"/>
      <c r="I13" s="795">
        <f t="shared" si="3"/>
        <v>0</v>
      </c>
      <c r="J13" s="1045">
        <f t="shared" si="4"/>
        <v>0</v>
      </c>
      <c r="K13" s="1046"/>
      <c r="L13" s="795">
        <f t="shared" si="5"/>
        <v>0</v>
      </c>
      <c r="M13" s="1045">
        <f t="shared" si="6"/>
        <v>0</v>
      </c>
      <c r="N13" s="1046"/>
      <c r="O13" s="795">
        <f t="shared" si="0"/>
        <v>0</v>
      </c>
      <c r="P13" s="1051">
        <f t="shared" si="1"/>
        <v>0</v>
      </c>
      <c r="Q13" s="1046"/>
      <c r="R13" s="800">
        <f t="shared" si="2"/>
        <v>0</v>
      </c>
      <c r="S13" s="51"/>
    </row>
    <row r="14" spans="2:21" x14ac:dyDescent="0.35">
      <c r="C14" s="927"/>
      <c r="D14" s="864"/>
      <c r="E14" s="910"/>
      <c r="F14" s="928"/>
      <c r="G14" s="1039"/>
      <c r="H14" s="1040"/>
      <c r="I14" s="795">
        <f t="shared" si="3"/>
        <v>0</v>
      </c>
      <c r="J14" s="1045">
        <f t="shared" si="4"/>
        <v>0</v>
      </c>
      <c r="K14" s="1046"/>
      <c r="L14" s="795">
        <f t="shared" si="5"/>
        <v>0</v>
      </c>
      <c r="M14" s="1045">
        <f t="shared" si="6"/>
        <v>0</v>
      </c>
      <c r="N14" s="1046"/>
      <c r="O14" s="795">
        <f t="shared" si="0"/>
        <v>0</v>
      </c>
      <c r="P14" s="1051">
        <f t="shared" si="1"/>
        <v>0</v>
      </c>
      <c r="Q14" s="1046"/>
      <c r="R14" s="800">
        <f t="shared" si="2"/>
        <v>0</v>
      </c>
      <c r="S14" s="51"/>
    </row>
    <row r="15" spans="2:21" x14ac:dyDescent="0.35">
      <c r="C15" s="927"/>
      <c r="D15" s="864"/>
      <c r="E15" s="910"/>
      <c r="F15" s="928"/>
      <c r="G15" s="1039"/>
      <c r="H15" s="1040"/>
      <c r="I15" s="795">
        <f t="shared" si="3"/>
        <v>0</v>
      </c>
      <c r="J15" s="1045">
        <f t="shared" si="4"/>
        <v>0</v>
      </c>
      <c r="K15" s="1046"/>
      <c r="L15" s="795">
        <f t="shared" si="5"/>
        <v>0</v>
      </c>
      <c r="M15" s="1045">
        <f t="shared" si="6"/>
        <v>0</v>
      </c>
      <c r="N15" s="1046"/>
      <c r="O15" s="795">
        <f t="shared" si="0"/>
        <v>0</v>
      </c>
      <c r="P15" s="1051">
        <f t="shared" si="1"/>
        <v>0</v>
      </c>
      <c r="Q15" s="1046"/>
      <c r="R15" s="800">
        <f t="shared" si="2"/>
        <v>0</v>
      </c>
      <c r="S15" s="51"/>
    </row>
    <row r="16" spans="2:21" x14ac:dyDescent="0.35">
      <c r="C16" s="927"/>
      <c r="D16" s="864"/>
      <c r="E16" s="910"/>
      <c r="F16" s="928"/>
      <c r="G16" s="1039"/>
      <c r="H16" s="1040"/>
      <c r="I16" s="795">
        <f t="shared" si="3"/>
        <v>0</v>
      </c>
      <c r="J16" s="1045">
        <f t="shared" si="4"/>
        <v>0</v>
      </c>
      <c r="K16" s="1046"/>
      <c r="L16" s="795">
        <f t="shared" si="5"/>
        <v>0</v>
      </c>
      <c r="M16" s="1045">
        <f t="shared" si="6"/>
        <v>0</v>
      </c>
      <c r="N16" s="1046"/>
      <c r="O16" s="795">
        <f t="shared" si="0"/>
        <v>0</v>
      </c>
      <c r="P16" s="1051">
        <f t="shared" si="1"/>
        <v>0</v>
      </c>
      <c r="Q16" s="1046"/>
      <c r="R16" s="800">
        <f t="shared" si="2"/>
        <v>0</v>
      </c>
      <c r="S16" s="51"/>
    </row>
    <row r="17" spans="3:20" x14ac:dyDescent="0.35">
      <c r="C17" s="927"/>
      <c r="D17" s="864"/>
      <c r="E17" s="910"/>
      <c r="F17" s="928"/>
      <c r="G17" s="1039"/>
      <c r="H17" s="1040"/>
      <c r="I17" s="795">
        <f t="shared" si="3"/>
        <v>0</v>
      </c>
      <c r="J17" s="1045">
        <f t="shared" si="4"/>
        <v>0</v>
      </c>
      <c r="K17" s="1046"/>
      <c r="L17" s="795">
        <f t="shared" si="5"/>
        <v>0</v>
      </c>
      <c r="M17" s="1045">
        <f t="shared" si="6"/>
        <v>0</v>
      </c>
      <c r="N17" s="1046"/>
      <c r="O17" s="795">
        <f t="shared" si="0"/>
        <v>0</v>
      </c>
      <c r="P17" s="1051">
        <f t="shared" si="1"/>
        <v>0</v>
      </c>
      <c r="Q17" s="1046"/>
      <c r="R17" s="800">
        <f t="shared" si="2"/>
        <v>0</v>
      </c>
      <c r="S17" s="51"/>
    </row>
    <row r="18" spans="3:20" ht="15" thickBot="1" x14ac:dyDescent="0.4">
      <c r="C18" s="929" t="s">
        <v>620</v>
      </c>
      <c r="D18" s="867"/>
      <c r="E18" s="930"/>
      <c r="F18" s="931"/>
      <c r="G18" s="1041"/>
      <c r="H18" s="1042"/>
      <c r="I18" s="796">
        <f>IF(D18=0,0,($D18+G18-G18/4)*$F18)</f>
        <v>0</v>
      </c>
      <c r="J18" s="1047">
        <f t="shared" ref="J18" si="7">IF(E18=0,0,IF(E18&lt;2,D18,(D18)/(E18-1)))</f>
        <v>0</v>
      </c>
      <c r="K18" s="1048"/>
      <c r="L18" s="796">
        <f t="shared" si="5"/>
        <v>0</v>
      </c>
      <c r="M18" s="1047">
        <f t="shared" ref="M18" si="8">IF(E18=0,0,IF($D18-$J18&gt;J18,J18,$D18-$J18))</f>
        <v>0</v>
      </c>
      <c r="N18" s="1048"/>
      <c r="O18" s="796">
        <f t="shared" si="0"/>
        <v>0</v>
      </c>
      <c r="P18" s="1052">
        <f t="shared" ref="P18" si="9">IF(E18=0,0,IF($D18-$J18-M18&gt;M18,M18,$D18-$J18-M18))</f>
        <v>0</v>
      </c>
      <c r="Q18" s="1048"/>
      <c r="R18" s="801">
        <f t="shared" si="2"/>
        <v>0</v>
      </c>
      <c r="S18" s="766" t="str">
        <f>IF(D19='3 TASE'!H65,"","TARKISTA, ETTÄ SOLU D19 = 3 TASE solu H65!")</f>
        <v/>
      </c>
    </row>
    <row r="19" spans="3:20" ht="15.5" thickTop="1" thickBot="1" x14ac:dyDescent="0.4">
      <c r="C19" s="233" t="s">
        <v>564</v>
      </c>
      <c r="D19" s="639">
        <f>SUM(D11:D18)</f>
        <v>0</v>
      </c>
      <c r="E19" s="700"/>
      <c r="F19" s="701"/>
      <c r="G19" s="1029">
        <f>SUM(G11:H18)</f>
        <v>0</v>
      </c>
      <c r="H19" s="1030"/>
      <c r="I19" s="797">
        <f>SUM(I11:I18)</f>
        <v>0</v>
      </c>
      <c r="J19" s="1029">
        <f>SUM(J11:K18)</f>
        <v>0</v>
      </c>
      <c r="K19" s="1030"/>
      <c r="L19" s="797">
        <f>SUM(L11:L18)</f>
        <v>0</v>
      </c>
      <c r="M19" s="1029">
        <f>SUM(M11:N18)</f>
        <v>0</v>
      </c>
      <c r="N19" s="1030"/>
      <c r="O19" s="797">
        <f>SUM(O11:O18)</f>
        <v>0</v>
      </c>
      <c r="P19" s="1029">
        <f>SUM(P11:Q18)</f>
        <v>0</v>
      </c>
      <c r="Q19" s="1030"/>
      <c r="R19" s="802">
        <f>SUM(R11:R18)</f>
        <v>0</v>
      </c>
      <c r="S19" s="766" t="str">
        <f>IF(G19='3 TASE'!H74,"","TARKISTA, ETTÄ SOLU G19 = 3 TASE solu H74!")</f>
        <v/>
      </c>
      <c r="T19" s="353"/>
    </row>
    <row r="20" spans="3:20" ht="15" thickBot="1" x14ac:dyDescent="0.4">
      <c r="C20" s="223" t="s">
        <v>565</v>
      </c>
      <c r="D20" s="266">
        <f>'3 TASE'!H70</f>
        <v>0</v>
      </c>
      <c r="E20" s="932"/>
      <c r="F20" s="933"/>
      <c r="G20" s="1031">
        <f>'3 TASE'!H80</f>
        <v>0</v>
      </c>
      <c r="H20" s="1032"/>
      <c r="I20" s="798">
        <f>'AT4 Lainat'!P39</f>
        <v>0</v>
      </c>
      <c r="J20" s="1031">
        <f>'AT4 Lainat'!S39</f>
        <v>0</v>
      </c>
      <c r="K20" s="1032"/>
      <c r="L20" s="798">
        <f>'AT4 Lainat'!V39</f>
        <v>0</v>
      </c>
      <c r="M20" s="1031">
        <f>'AT4 Lainat'!Y39</f>
        <v>0</v>
      </c>
      <c r="N20" s="1032"/>
      <c r="O20" s="798">
        <f>'AT4 Lainat'!AB39</f>
        <v>0</v>
      </c>
      <c r="P20" s="1049">
        <f>'AT4 Lainat'!AE39</f>
        <v>0</v>
      </c>
      <c r="Q20" s="1050"/>
      <c r="R20" s="803">
        <f>'AT4 Lainat'!AH39</f>
        <v>0</v>
      </c>
      <c r="S20" s="51"/>
      <c r="T20" s="353"/>
    </row>
    <row r="21" spans="3:20" ht="17" x14ac:dyDescent="0.4">
      <c r="C21" s="436" t="s">
        <v>598</v>
      </c>
      <c r="D21" s="225"/>
      <c r="E21" s="1026" t="s">
        <v>621</v>
      </c>
      <c r="F21" s="160"/>
      <c r="G21" s="1033" t="str">
        <f>G8</f>
        <v>Ennuste 1</v>
      </c>
      <c r="H21" s="1034"/>
      <c r="I21" s="1035"/>
      <c r="J21" s="1033" t="str">
        <f t="shared" ref="J21" si="10">J8</f>
        <v>Ennuste 2</v>
      </c>
      <c r="K21" s="1034"/>
      <c r="L21" s="1035"/>
      <c r="M21" s="1033" t="str">
        <f t="shared" ref="M21" si="11">M8</f>
        <v>Ennuste 3</v>
      </c>
      <c r="N21" s="1034"/>
      <c r="O21" s="1035"/>
      <c r="P21" s="1033" t="str">
        <f t="shared" ref="P21" si="12">P8</f>
        <v>Ennuste 4</v>
      </c>
      <c r="Q21" s="1034"/>
      <c r="R21" s="1034"/>
      <c r="S21" s="51"/>
    </row>
    <row r="22" spans="3:20" ht="17" x14ac:dyDescent="0.4">
      <c r="C22" s="437" t="s">
        <v>599</v>
      </c>
      <c r="D22" s="220" t="s">
        <v>606</v>
      </c>
      <c r="E22" s="1027"/>
      <c r="F22" s="229" t="s">
        <v>567</v>
      </c>
      <c r="G22" s="1036">
        <f>G9</f>
        <v>2026</v>
      </c>
      <c r="H22" s="1037"/>
      <c r="I22" s="1038"/>
      <c r="J22" s="1036">
        <f t="shared" ref="J22" si="13">J9</f>
        <v>2027</v>
      </c>
      <c r="K22" s="1037"/>
      <c r="L22" s="1038"/>
      <c r="M22" s="1036">
        <f t="shared" ref="M22" si="14">M9</f>
        <v>2028</v>
      </c>
      <c r="N22" s="1037"/>
      <c r="O22" s="1038"/>
      <c r="P22" s="1036">
        <f t="shared" ref="P22" si="15">P9</f>
        <v>2029</v>
      </c>
      <c r="Q22" s="1037"/>
      <c r="R22" s="1037"/>
      <c r="S22" s="51"/>
    </row>
    <row r="23" spans="3:20" ht="15" thickBot="1" x14ac:dyDescent="0.4">
      <c r="C23" s="223" t="s">
        <v>434</v>
      </c>
      <c r="D23" s="224"/>
      <c r="E23" s="1028"/>
      <c r="F23" s="230"/>
      <c r="G23" s="227" t="s">
        <v>602</v>
      </c>
      <c r="H23" s="222" t="s">
        <v>568</v>
      </c>
      <c r="I23" s="228" t="s">
        <v>163</v>
      </c>
      <c r="J23" s="227" t="s">
        <v>602</v>
      </c>
      <c r="K23" s="222" t="s">
        <v>568</v>
      </c>
      <c r="L23" s="228" t="s">
        <v>163</v>
      </c>
      <c r="M23" s="227" t="s">
        <v>602</v>
      </c>
      <c r="N23" s="222" t="s">
        <v>568</v>
      </c>
      <c r="O23" s="228" t="s">
        <v>163</v>
      </c>
      <c r="P23" s="227" t="s">
        <v>602</v>
      </c>
      <c r="Q23" s="222" t="s">
        <v>568</v>
      </c>
      <c r="R23" s="226" t="s">
        <v>163</v>
      </c>
      <c r="S23" s="51"/>
    </row>
    <row r="24" spans="3:20" x14ac:dyDescent="0.35">
      <c r="C24" s="438" t="s">
        <v>600</v>
      </c>
      <c r="D24" s="439"/>
      <c r="E24" s="439"/>
      <c r="F24" s="439"/>
      <c r="G24" s="439"/>
      <c r="H24" s="439"/>
      <c r="I24" s="439"/>
      <c r="J24" s="439"/>
      <c r="K24" s="439"/>
      <c r="L24" s="439"/>
      <c r="M24" s="439"/>
      <c r="N24" s="439"/>
      <c r="O24" s="439"/>
      <c r="P24" s="439"/>
      <c r="Q24" s="439"/>
      <c r="R24" s="439"/>
      <c r="S24" s="51"/>
    </row>
    <row r="25" spans="3:20" x14ac:dyDescent="0.35">
      <c r="C25" s="924" t="s">
        <v>601</v>
      </c>
      <c r="D25" s="869"/>
      <c r="E25" s="869"/>
      <c r="F25" s="934"/>
      <c r="G25" s="889">
        <f>D25</f>
        <v>0</v>
      </c>
      <c r="H25" s="869"/>
      <c r="I25" s="689">
        <f>'AT4 Lainat'!P22</f>
        <v>0</v>
      </c>
      <c r="J25" s="552"/>
      <c r="K25" s="869">
        <f>H25</f>
        <v>0</v>
      </c>
      <c r="L25" s="689">
        <f>'AT4 Lainat'!V22</f>
        <v>0</v>
      </c>
      <c r="M25" s="552"/>
      <c r="N25" s="869">
        <f>K25</f>
        <v>0</v>
      </c>
      <c r="O25" s="689">
        <f>'AT4 Lainat'!AB22</f>
        <v>0</v>
      </c>
      <c r="P25" s="552"/>
      <c r="Q25" s="869">
        <f>N25</f>
        <v>0</v>
      </c>
      <c r="R25" s="640">
        <f>'AT4 Lainat'!AH22</f>
        <v>0</v>
      </c>
      <c r="S25" s="51"/>
      <c r="T25" s="353"/>
    </row>
    <row r="26" spans="3:20" x14ac:dyDescent="0.35">
      <c r="C26" s="927"/>
      <c r="D26" s="864"/>
      <c r="E26" s="864"/>
      <c r="F26" s="935"/>
      <c r="G26" s="890">
        <f>D26</f>
        <v>0</v>
      </c>
      <c r="H26" s="864"/>
      <c r="I26" s="177">
        <f>'AT4 Lainat'!P23</f>
        <v>0</v>
      </c>
      <c r="J26" s="557"/>
      <c r="K26" s="869">
        <f>H26</f>
        <v>0</v>
      </c>
      <c r="L26" s="177">
        <f>'AT4 Lainat'!V23</f>
        <v>0</v>
      </c>
      <c r="M26" s="557"/>
      <c r="N26" s="869">
        <f>K26</f>
        <v>0</v>
      </c>
      <c r="O26" s="177">
        <f>'AT4 Lainat'!AB23</f>
        <v>0</v>
      </c>
      <c r="P26" s="557"/>
      <c r="Q26" s="869">
        <f>N26</f>
        <v>0</v>
      </c>
      <c r="R26" s="641">
        <f>'AT4 Lainat'!AH23</f>
        <v>0</v>
      </c>
      <c r="S26" s="51"/>
    </row>
    <row r="27" spans="3:20" ht="15" thickBot="1" x14ac:dyDescent="0.4">
      <c r="C27" s="936"/>
      <c r="D27" s="902"/>
      <c r="E27" s="902"/>
      <c r="F27" s="937"/>
      <c r="G27" s="938">
        <f>D27</f>
        <v>0</v>
      </c>
      <c r="H27" s="902"/>
      <c r="I27" s="182">
        <f>'AT4 Lainat'!P24</f>
        <v>0</v>
      </c>
      <c r="J27" s="694"/>
      <c r="K27" s="869">
        <f>H27</f>
        <v>0</v>
      </c>
      <c r="L27" s="182">
        <f>'AT4 Lainat'!V24</f>
        <v>0</v>
      </c>
      <c r="M27" s="694"/>
      <c r="N27" s="869">
        <f>K27</f>
        <v>0</v>
      </c>
      <c r="O27" s="182">
        <f>'AT4 Lainat'!AB24</f>
        <v>0</v>
      </c>
      <c r="P27" s="694"/>
      <c r="Q27" s="869">
        <f>N27</f>
        <v>0</v>
      </c>
      <c r="R27" s="695">
        <f>'AT4 Lainat'!AH24</f>
        <v>0</v>
      </c>
      <c r="S27" s="51"/>
    </row>
    <row r="28" spans="3:20" x14ac:dyDescent="0.35">
      <c r="C28" s="438" t="s">
        <v>603</v>
      </c>
      <c r="D28" s="696"/>
      <c r="E28" s="696"/>
      <c r="F28" s="439"/>
      <c r="G28" s="696"/>
      <c r="H28" s="696"/>
      <c r="I28" s="696"/>
      <c r="J28" s="696"/>
      <c r="K28" s="696"/>
      <c r="L28" s="696"/>
      <c r="M28" s="696"/>
      <c r="N28" s="696"/>
      <c r="O28" s="696"/>
      <c r="P28" s="696"/>
      <c r="Q28" s="696"/>
      <c r="R28" s="696"/>
      <c r="S28" s="51"/>
    </row>
    <row r="29" spans="3:20" x14ac:dyDescent="0.35">
      <c r="C29" s="924" t="s">
        <v>601</v>
      </c>
      <c r="D29" s="869"/>
      <c r="E29" s="869"/>
      <c r="F29" s="934"/>
      <c r="G29" s="552"/>
      <c r="H29" s="209"/>
      <c r="I29" s="689"/>
      <c r="J29" s="889">
        <f>D29</f>
        <v>0</v>
      </c>
      <c r="K29" s="869"/>
      <c r="L29" s="689">
        <f>'AT4 Lainat'!V26</f>
        <v>0</v>
      </c>
      <c r="M29" s="552"/>
      <c r="N29" s="869">
        <f>K29</f>
        <v>0</v>
      </c>
      <c r="O29" s="689">
        <f>'AT4 Lainat'!AB26</f>
        <v>0</v>
      </c>
      <c r="P29" s="552"/>
      <c r="Q29" s="869">
        <f>N29</f>
        <v>0</v>
      </c>
      <c r="R29" s="640">
        <f>'AT4 Lainat'!AH26</f>
        <v>0</v>
      </c>
      <c r="S29" s="51"/>
    </row>
    <row r="30" spans="3:20" x14ac:dyDescent="0.35">
      <c r="C30" s="927"/>
      <c r="D30" s="864"/>
      <c r="E30" s="864"/>
      <c r="F30" s="935"/>
      <c r="G30" s="557"/>
      <c r="H30" s="151"/>
      <c r="I30" s="177"/>
      <c r="J30" s="889">
        <f>D30</f>
        <v>0</v>
      </c>
      <c r="K30" s="864"/>
      <c r="L30" s="177">
        <f>'AT4 Lainat'!V27</f>
        <v>0</v>
      </c>
      <c r="M30" s="557"/>
      <c r="N30" s="869">
        <f>K30</f>
        <v>0</v>
      </c>
      <c r="O30" s="177">
        <f>'AT4 Lainat'!AB27</f>
        <v>0</v>
      </c>
      <c r="P30" s="557"/>
      <c r="Q30" s="869">
        <f>N30</f>
        <v>0</v>
      </c>
      <c r="R30" s="641">
        <f>'AT4 Lainat'!AH27</f>
        <v>0</v>
      </c>
      <c r="S30" s="51"/>
    </row>
    <row r="31" spans="3:20" ht="15" thickBot="1" x14ac:dyDescent="0.4">
      <c r="C31" s="936"/>
      <c r="D31" s="902"/>
      <c r="E31" s="902"/>
      <c r="F31" s="937"/>
      <c r="G31" s="694"/>
      <c r="H31" s="181"/>
      <c r="I31" s="182"/>
      <c r="J31" s="889">
        <f>D31</f>
        <v>0</v>
      </c>
      <c r="K31" s="902"/>
      <c r="L31" s="182">
        <f>'AT4 Lainat'!V28</f>
        <v>0</v>
      </c>
      <c r="M31" s="694"/>
      <c r="N31" s="869">
        <f>K31</f>
        <v>0</v>
      </c>
      <c r="O31" s="182">
        <f>'AT4 Lainat'!AB28</f>
        <v>0</v>
      </c>
      <c r="P31" s="694"/>
      <c r="Q31" s="869">
        <f>N31</f>
        <v>0</v>
      </c>
      <c r="R31" s="695">
        <f>'AT4 Lainat'!AH28</f>
        <v>0</v>
      </c>
      <c r="S31" s="51"/>
    </row>
    <row r="32" spans="3:20" x14ac:dyDescent="0.35">
      <c r="C32" s="438" t="s">
        <v>604</v>
      </c>
      <c r="D32" s="696"/>
      <c r="E32" s="696"/>
      <c r="F32" s="439"/>
      <c r="G32" s="696"/>
      <c r="H32" s="696"/>
      <c r="I32" s="696"/>
      <c r="J32" s="696"/>
      <c r="K32" s="696"/>
      <c r="L32" s="696"/>
      <c r="M32" s="696"/>
      <c r="N32" s="696"/>
      <c r="O32" s="696"/>
      <c r="P32" s="696"/>
      <c r="Q32" s="696"/>
      <c r="R32" s="696"/>
      <c r="S32" s="51"/>
    </row>
    <row r="33" spans="3:20" x14ac:dyDescent="0.35">
      <c r="C33" s="924" t="s">
        <v>601</v>
      </c>
      <c r="D33" s="869"/>
      <c r="E33" s="869"/>
      <c r="F33" s="934"/>
      <c r="G33" s="552"/>
      <c r="H33" s="209"/>
      <c r="I33" s="689"/>
      <c r="J33" s="552"/>
      <c r="K33" s="697"/>
      <c r="L33" s="689"/>
      <c r="M33" s="889">
        <f>D33</f>
        <v>0</v>
      </c>
      <c r="N33" s="869"/>
      <c r="O33" s="689">
        <f>'AT4 Lainat'!AB30</f>
        <v>0</v>
      </c>
      <c r="P33" s="552"/>
      <c r="Q33" s="869">
        <f>N33</f>
        <v>0</v>
      </c>
      <c r="R33" s="640">
        <f>'AT4 Lainat'!AH30</f>
        <v>0</v>
      </c>
      <c r="S33" s="51"/>
    </row>
    <row r="34" spans="3:20" x14ac:dyDescent="0.35">
      <c r="C34" s="927"/>
      <c r="D34" s="864"/>
      <c r="E34" s="864"/>
      <c r="F34" s="935"/>
      <c r="G34" s="557"/>
      <c r="H34" s="151"/>
      <c r="I34" s="177"/>
      <c r="J34" s="557"/>
      <c r="K34" s="698"/>
      <c r="L34" s="177"/>
      <c r="M34" s="889">
        <f>D34</f>
        <v>0</v>
      </c>
      <c r="N34" s="864"/>
      <c r="O34" s="177">
        <f>'AT4 Lainat'!AB31</f>
        <v>0</v>
      </c>
      <c r="P34" s="557"/>
      <c r="Q34" s="869">
        <f>N34</f>
        <v>0</v>
      </c>
      <c r="R34" s="641">
        <f>'AT4 Lainat'!AH31</f>
        <v>0</v>
      </c>
      <c r="S34" s="51"/>
    </row>
    <row r="35" spans="3:20" ht="15" thickBot="1" x14ac:dyDescent="0.4">
      <c r="C35" s="936"/>
      <c r="D35" s="902"/>
      <c r="E35" s="902"/>
      <c r="F35" s="937"/>
      <c r="G35" s="694"/>
      <c r="H35" s="181"/>
      <c r="I35" s="182"/>
      <c r="J35" s="694"/>
      <c r="K35" s="699"/>
      <c r="L35" s="182"/>
      <c r="M35" s="889">
        <f>D35</f>
        <v>0</v>
      </c>
      <c r="N35" s="902"/>
      <c r="O35" s="182">
        <f>'AT4 Lainat'!AB32</f>
        <v>0</v>
      </c>
      <c r="P35" s="694"/>
      <c r="Q35" s="869">
        <f>N35</f>
        <v>0</v>
      </c>
      <c r="R35" s="695">
        <f>'AT4 Lainat'!AH32</f>
        <v>0</v>
      </c>
      <c r="S35" s="51"/>
    </row>
    <row r="36" spans="3:20" x14ac:dyDescent="0.35">
      <c r="C36" s="438" t="s">
        <v>605</v>
      </c>
      <c r="D36" s="696"/>
      <c r="E36" s="696"/>
      <c r="F36" s="439"/>
      <c r="G36" s="696"/>
      <c r="H36" s="696"/>
      <c r="I36" s="696"/>
      <c r="J36" s="696"/>
      <c r="K36" s="696"/>
      <c r="L36" s="696"/>
      <c r="M36" s="696"/>
      <c r="N36" s="696"/>
      <c r="O36" s="696"/>
      <c r="P36" s="696"/>
      <c r="Q36" s="696"/>
      <c r="R36" s="696"/>
      <c r="S36" s="51"/>
    </row>
    <row r="37" spans="3:20" x14ac:dyDescent="0.35">
      <c r="C37" s="924" t="s">
        <v>601</v>
      </c>
      <c r="D37" s="869"/>
      <c r="E37" s="869"/>
      <c r="F37" s="934"/>
      <c r="G37" s="552"/>
      <c r="H37" s="209"/>
      <c r="I37" s="689"/>
      <c r="J37" s="552"/>
      <c r="K37" s="209"/>
      <c r="L37" s="689"/>
      <c r="M37" s="552"/>
      <c r="N37" s="209"/>
      <c r="O37" s="689"/>
      <c r="P37" s="889">
        <f>D37</f>
        <v>0</v>
      </c>
      <c r="Q37" s="869"/>
      <c r="R37" s="640">
        <f>'AT4 Lainat'!AH34</f>
        <v>0</v>
      </c>
      <c r="S37" s="51"/>
    </row>
    <row r="38" spans="3:20" x14ac:dyDescent="0.35">
      <c r="C38" s="927"/>
      <c r="D38" s="864"/>
      <c r="E38" s="864"/>
      <c r="F38" s="935"/>
      <c r="G38" s="557"/>
      <c r="H38" s="151"/>
      <c r="I38" s="177"/>
      <c r="J38" s="557"/>
      <c r="K38" s="151"/>
      <c r="L38" s="177"/>
      <c r="M38" s="557"/>
      <c r="N38" s="151"/>
      <c r="O38" s="177"/>
      <c r="P38" s="889">
        <f>D38</f>
        <v>0</v>
      </c>
      <c r="Q38" s="864"/>
      <c r="R38" s="641">
        <f>'AT4 Lainat'!AH35</f>
        <v>0</v>
      </c>
      <c r="S38" s="51"/>
    </row>
    <row r="39" spans="3:20" ht="15" thickBot="1" x14ac:dyDescent="0.4">
      <c r="C39" s="929"/>
      <c r="D39" s="867"/>
      <c r="E39" s="867"/>
      <c r="F39" s="939"/>
      <c r="G39" s="559"/>
      <c r="H39" s="153"/>
      <c r="I39" s="642"/>
      <c r="J39" s="559"/>
      <c r="K39" s="153"/>
      <c r="L39" s="642"/>
      <c r="M39" s="559"/>
      <c r="N39" s="153"/>
      <c r="O39" s="642"/>
      <c r="P39" s="891">
        <f>D39</f>
        <v>0</v>
      </c>
      <c r="Q39" s="867"/>
      <c r="R39" s="643">
        <f>'AT4 Lainat'!AH36</f>
        <v>0</v>
      </c>
      <c r="S39" s="51"/>
    </row>
    <row r="40" spans="3:20" ht="15.5" thickTop="1" thickBot="1" x14ac:dyDescent="0.4">
      <c r="C40" s="157" t="s">
        <v>607</v>
      </c>
      <c r="D40" s="152">
        <f>SUM(D25:D39)</f>
        <v>0</v>
      </c>
      <c r="E40" s="791"/>
      <c r="F40" s="702"/>
      <c r="G40" s="563">
        <f>SUM(G25:G39)</f>
        <v>0</v>
      </c>
      <c r="H40" s="266">
        <f t="shared" ref="H40:R40" si="16">SUM(H25:H39)</f>
        <v>0</v>
      </c>
      <c r="I40" s="521">
        <f t="shared" si="16"/>
        <v>0</v>
      </c>
      <c r="J40" s="563">
        <f t="shared" si="16"/>
        <v>0</v>
      </c>
      <c r="K40" s="266">
        <f t="shared" si="16"/>
        <v>0</v>
      </c>
      <c r="L40" s="521">
        <f t="shared" si="16"/>
        <v>0</v>
      </c>
      <c r="M40" s="563">
        <f t="shared" si="16"/>
        <v>0</v>
      </c>
      <c r="N40" s="266">
        <f t="shared" si="16"/>
        <v>0</v>
      </c>
      <c r="O40" s="521">
        <f t="shared" si="16"/>
        <v>0</v>
      </c>
      <c r="P40" s="563">
        <f t="shared" si="16"/>
        <v>0</v>
      </c>
      <c r="Q40" s="266">
        <f t="shared" si="16"/>
        <v>0</v>
      </c>
      <c r="R40" s="644">
        <f t="shared" si="16"/>
        <v>0</v>
      </c>
      <c r="S40" s="51"/>
    </row>
    <row r="41" spans="3:20" ht="17.5" thickBot="1" x14ac:dyDescent="0.45">
      <c r="C41" s="440" t="s">
        <v>608</v>
      </c>
      <c r="D41" s="792"/>
      <c r="E41" s="792"/>
      <c r="F41" s="441"/>
      <c r="G41" s="442" t="s">
        <v>602</v>
      </c>
      <c r="H41" s="442" t="s">
        <v>568</v>
      </c>
      <c r="I41" s="442" t="s">
        <v>163</v>
      </c>
      <c r="J41" s="442" t="s">
        <v>602</v>
      </c>
      <c r="K41" s="442" t="s">
        <v>568</v>
      </c>
      <c r="L41" s="442" t="s">
        <v>163</v>
      </c>
      <c r="M41" s="442" t="s">
        <v>602</v>
      </c>
      <c r="N41" s="442" t="s">
        <v>568</v>
      </c>
      <c r="O41" s="442" t="s">
        <v>163</v>
      </c>
      <c r="P41" s="442" t="s">
        <v>602</v>
      </c>
      <c r="Q41" s="442" t="s">
        <v>568</v>
      </c>
      <c r="R41" s="442" t="s">
        <v>163</v>
      </c>
      <c r="S41" s="51"/>
    </row>
    <row r="42" spans="3:20" x14ac:dyDescent="0.35">
      <c r="C42" s="924" t="s">
        <v>609</v>
      </c>
      <c r="D42" s="869"/>
      <c r="E42" s="869"/>
      <c r="F42" s="934"/>
      <c r="G42" s="889">
        <f>D42</f>
        <v>0</v>
      </c>
      <c r="H42" s="209">
        <f>'AT4 Lainat'!M43</f>
        <v>0</v>
      </c>
      <c r="I42" s="689">
        <f>'AT4 Lainat'!P43</f>
        <v>0</v>
      </c>
      <c r="J42" s="552"/>
      <c r="K42" s="209">
        <f>'AT4 Lainat'!S43</f>
        <v>0</v>
      </c>
      <c r="L42" s="689">
        <f>'AT4 Lainat'!V43</f>
        <v>0</v>
      </c>
      <c r="M42" s="552"/>
      <c r="N42" s="209">
        <f>'AT4 Lainat'!Y43</f>
        <v>0</v>
      </c>
      <c r="O42" s="689">
        <f>'AT4 Lainat'!AB43</f>
        <v>0</v>
      </c>
      <c r="P42" s="552"/>
      <c r="Q42" s="209">
        <f>'AT4 Lainat'!AE43</f>
        <v>0</v>
      </c>
      <c r="R42" s="640">
        <f>'AT4 Lainat'!AH43</f>
        <v>0</v>
      </c>
      <c r="S42" s="51"/>
    </row>
    <row r="43" spans="3:20" x14ac:dyDescent="0.35">
      <c r="C43" s="924" t="s">
        <v>610</v>
      </c>
      <c r="D43" s="869"/>
      <c r="E43" s="869"/>
      <c r="F43" s="934"/>
      <c r="G43" s="703"/>
      <c r="H43" s="672"/>
      <c r="I43" s="704"/>
      <c r="J43" s="889">
        <f>D43</f>
        <v>0</v>
      </c>
      <c r="K43" s="209">
        <f>'AT4 Lainat'!M46</f>
        <v>0</v>
      </c>
      <c r="L43" s="689">
        <f>'AT4 Lainat'!P46</f>
        <v>0</v>
      </c>
      <c r="M43" s="552"/>
      <c r="N43" s="209">
        <f>'AT4 Lainat'!Y46</f>
        <v>0</v>
      </c>
      <c r="O43" s="689">
        <f>'AT4 Lainat'!AB46</f>
        <v>0</v>
      </c>
      <c r="P43" s="552"/>
      <c r="Q43" s="209">
        <f>IF(J43=0,0,'AT4 Lainat'!AE46)</f>
        <v>0</v>
      </c>
      <c r="R43" s="640">
        <f>'AT4 Lainat'!AH46</f>
        <v>0</v>
      </c>
      <c r="S43" s="51"/>
    </row>
    <row r="44" spans="3:20" x14ac:dyDescent="0.35">
      <c r="C44" s="927" t="s">
        <v>611</v>
      </c>
      <c r="D44" s="864"/>
      <c r="E44" s="864"/>
      <c r="F44" s="935"/>
      <c r="G44" s="705"/>
      <c r="H44" s="661"/>
      <c r="I44" s="706"/>
      <c r="J44" s="705"/>
      <c r="K44" s="661"/>
      <c r="L44" s="706"/>
      <c r="M44" s="890">
        <f>D44</f>
        <v>0</v>
      </c>
      <c r="N44" s="151">
        <f>'AT4 Lainat'!Y49</f>
        <v>0</v>
      </c>
      <c r="O44" s="177">
        <f>'AT4 Lainat'!AB49</f>
        <v>0</v>
      </c>
      <c r="P44" s="557"/>
      <c r="Q44" s="151">
        <f>IF(M44=0,0,'AT4 Lainat'!AE49)</f>
        <v>0</v>
      </c>
      <c r="R44" s="641">
        <f>'AT4 Lainat'!AH49</f>
        <v>0</v>
      </c>
      <c r="S44" s="51"/>
    </row>
    <row r="45" spans="3:20" ht="15" thickBot="1" x14ac:dyDescent="0.4">
      <c r="C45" s="929" t="s">
        <v>612</v>
      </c>
      <c r="D45" s="867"/>
      <c r="E45" s="867"/>
      <c r="F45" s="940"/>
      <c r="G45" s="707"/>
      <c r="H45" s="688"/>
      <c r="I45" s="708"/>
      <c r="J45" s="707"/>
      <c r="K45" s="688"/>
      <c r="L45" s="708"/>
      <c r="M45" s="707"/>
      <c r="N45" s="688"/>
      <c r="O45" s="708"/>
      <c r="P45" s="891">
        <f>D45</f>
        <v>0</v>
      </c>
      <c r="Q45" s="153">
        <f>IF(P45=0,0,'AT4 Lainat'!AE52)</f>
        <v>0</v>
      </c>
      <c r="R45" s="643">
        <f>'AT4 Lainat'!AH52</f>
        <v>0</v>
      </c>
      <c r="S45" s="51"/>
    </row>
    <row r="46" spans="3:20" ht="15.5" thickTop="1" thickBot="1" x14ac:dyDescent="0.4">
      <c r="C46" s="235" t="s">
        <v>613</v>
      </c>
      <c r="D46" s="266">
        <f>SUM(D42:D45)</f>
        <v>0</v>
      </c>
      <c r="E46" s="266"/>
      <c r="F46" s="232"/>
      <c r="G46" s="563">
        <f>SUM(G42:G45)</f>
        <v>0</v>
      </c>
      <c r="H46" s="266">
        <f t="shared" ref="H46:R46" si="17">SUM(H42:H45)</f>
        <v>0</v>
      </c>
      <c r="I46" s="521">
        <f t="shared" si="17"/>
        <v>0</v>
      </c>
      <c r="J46" s="563">
        <f t="shared" si="17"/>
        <v>0</v>
      </c>
      <c r="K46" s="266">
        <f t="shared" si="17"/>
        <v>0</v>
      </c>
      <c r="L46" s="521">
        <f t="shared" si="17"/>
        <v>0</v>
      </c>
      <c r="M46" s="563">
        <f>SUM(M42:M45)</f>
        <v>0</v>
      </c>
      <c r="N46" s="266">
        <f t="shared" si="17"/>
        <v>0</v>
      </c>
      <c r="O46" s="521">
        <f t="shared" si="17"/>
        <v>0</v>
      </c>
      <c r="P46" s="563">
        <f t="shared" si="17"/>
        <v>0</v>
      </c>
      <c r="Q46" s="266">
        <f t="shared" si="17"/>
        <v>0</v>
      </c>
      <c r="R46" s="644">
        <f t="shared" si="17"/>
        <v>0</v>
      </c>
      <c r="S46" s="51"/>
    </row>
    <row r="47" spans="3:20" ht="15" thickBot="1" x14ac:dyDescent="0.4">
      <c r="C47" s="236" t="s">
        <v>614</v>
      </c>
      <c r="D47" s="217">
        <f>'3 TASE'!I75</f>
        <v>0</v>
      </c>
      <c r="E47" s="711"/>
      <c r="F47" s="941">
        <v>0.1</v>
      </c>
      <c r="G47" s="710"/>
      <c r="H47" s="711"/>
      <c r="I47" s="218">
        <f>$F47*D47</f>
        <v>0</v>
      </c>
      <c r="J47" s="710"/>
      <c r="K47" s="711"/>
      <c r="L47" s="218">
        <f>$F$47*'3 TASE'!I75</f>
        <v>0</v>
      </c>
      <c r="M47" s="710"/>
      <c r="N47" s="711"/>
      <c r="O47" s="218">
        <f>$F$47*'3 TASE'!J75</f>
        <v>0</v>
      </c>
      <c r="P47" s="710"/>
      <c r="Q47" s="711"/>
      <c r="R47" s="690">
        <f>$F$47*'3 TASE'!K75</f>
        <v>0</v>
      </c>
      <c r="S47" s="51"/>
      <c r="T47" s="353"/>
    </row>
    <row r="48" spans="3:20" ht="15" thickBot="1" x14ac:dyDescent="0.4">
      <c r="C48" s="236" t="s">
        <v>615</v>
      </c>
      <c r="D48" s="217">
        <f>'3 TASE'!H66+'3 TASE'!H76</f>
        <v>0</v>
      </c>
      <c r="E48" s="711"/>
      <c r="F48" s="941">
        <v>0.1</v>
      </c>
      <c r="G48" s="710"/>
      <c r="H48" s="711"/>
      <c r="I48" s="218">
        <f>$F48*D48</f>
        <v>0</v>
      </c>
      <c r="J48" s="710"/>
      <c r="K48" s="711"/>
      <c r="L48" s="218">
        <f>$F$48*('3 TASE'!I66+'3 TASE'!I76)</f>
        <v>0</v>
      </c>
      <c r="M48" s="710"/>
      <c r="N48" s="711"/>
      <c r="O48" s="218">
        <f>$F$48*('3 TASE'!J66+'3 TASE'!J76)</f>
        <v>0</v>
      </c>
      <c r="P48" s="710"/>
      <c r="Q48" s="711"/>
      <c r="R48" s="690">
        <f>$F$48*('3 TASE'!K66+'3 TASE'!K76)</f>
        <v>0</v>
      </c>
      <c r="S48" s="51"/>
      <c r="T48" s="353"/>
    </row>
    <row r="49" spans="3:20" ht="15" thickBot="1" x14ac:dyDescent="0.4">
      <c r="C49" s="236" t="s">
        <v>616</v>
      </c>
      <c r="D49" s="217">
        <f>'3 TASE'!H71</f>
        <v>0</v>
      </c>
      <c r="E49" s="711"/>
      <c r="F49" s="941">
        <v>0.1</v>
      </c>
      <c r="G49" s="710"/>
      <c r="H49" s="711"/>
      <c r="I49" s="218">
        <f>$F49*D49</f>
        <v>0</v>
      </c>
      <c r="J49" s="710"/>
      <c r="K49" s="711"/>
      <c r="L49" s="218">
        <f>$F$49*('3 TASE'!I71)</f>
        <v>0</v>
      </c>
      <c r="M49" s="710"/>
      <c r="N49" s="711"/>
      <c r="O49" s="218">
        <f>$F$49*('3 TASE'!J71)</f>
        <v>0</v>
      </c>
      <c r="P49" s="710"/>
      <c r="Q49" s="711"/>
      <c r="R49" s="690">
        <f>$F$49*('3 TASE'!K71)</f>
        <v>0</v>
      </c>
      <c r="S49" s="51"/>
      <c r="T49" s="353"/>
    </row>
    <row r="50" spans="3:20" ht="15" thickBot="1" x14ac:dyDescent="0.4">
      <c r="C50" s="237" t="s">
        <v>617</v>
      </c>
      <c r="D50" s="793"/>
      <c r="E50" s="793"/>
      <c r="F50" s="709"/>
      <c r="G50" s="712"/>
      <c r="H50" s="713"/>
      <c r="I50" s="942">
        <f>2%*G40</f>
        <v>0</v>
      </c>
      <c r="J50" s="712"/>
      <c r="K50" s="713"/>
      <c r="L50" s="942">
        <f>2%*J40</f>
        <v>0</v>
      </c>
      <c r="M50" s="712"/>
      <c r="N50" s="713"/>
      <c r="O50" s="942">
        <f>2%*M40</f>
        <v>0</v>
      </c>
      <c r="P50" s="712"/>
      <c r="Q50" s="713"/>
      <c r="R50" s="943">
        <f>2%*P40</f>
        <v>0</v>
      </c>
      <c r="S50" s="51"/>
    </row>
    <row r="51" spans="3:20" ht="15.5" thickTop="1" thickBot="1" x14ac:dyDescent="0.4">
      <c r="C51" s="234" t="s">
        <v>618</v>
      </c>
      <c r="D51" s="344">
        <f>D40+D19+D46+D47+D20+D49</f>
        <v>0</v>
      </c>
      <c r="E51" s="344"/>
      <c r="F51" s="238"/>
      <c r="G51" s="691">
        <f>G40+G46</f>
        <v>0</v>
      </c>
      <c r="H51" s="344">
        <f>H40+G19+H46+G20</f>
        <v>0</v>
      </c>
      <c r="I51" s="692">
        <f>I40+I19+I46+I47+I50+I20+I49+I48</f>
        <v>0</v>
      </c>
      <c r="J51" s="691">
        <f>J40+J46</f>
        <v>0</v>
      </c>
      <c r="K51" s="344">
        <f>K40+J19+K46+J20</f>
        <v>0</v>
      </c>
      <c r="L51" s="692">
        <f>L40+L19+L46+L47+L50+L20+L49+L48</f>
        <v>0</v>
      </c>
      <c r="M51" s="691">
        <f>M40+M46</f>
        <v>0</v>
      </c>
      <c r="N51" s="344">
        <f>N40+M19+N46+M20</f>
        <v>0</v>
      </c>
      <c r="O51" s="692">
        <f>O40+O19+O46+O47+O50+O20+O49+O48</f>
        <v>0</v>
      </c>
      <c r="P51" s="691">
        <f>P40+P46</f>
        <v>0</v>
      </c>
      <c r="Q51" s="344">
        <f>Q40+P19+Q46+P20</f>
        <v>0</v>
      </c>
      <c r="R51" s="693">
        <f>R40+R19+R46+R47+R50+R20+R49+R48</f>
        <v>0</v>
      </c>
      <c r="S51" s="51"/>
    </row>
    <row r="52" spans="3:20" ht="15" thickTop="1" x14ac:dyDescent="0.35"/>
    <row r="54" spans="3:20" x14ac:dyDescent="0.35">
      <c r="C54" s="197" t="s">
        <v>578</v>
      </c>
    </row>
    <row r="55" spans="3:20" x14ac:dyDescent="0.35">
      <c r="C55" s="984" t="s">
        <v>579</v>
      </c>
    </row>
    <row r="56" spans="3:20" x14ac:dyDescent="0.35">
      <c r="C56" s="984"/>
    </row>
    <row r="57" spans="3:20" x14ac:dyDescent="0.35">
      <c r="C57" s="984"/>
    </row>
  </sheetData>
  <sheetProtection algorithmName="SHA-512" hashValue="CwO/Bis+eCBtNA9PY5VZjQhkVrVoQh96AvkZfNw95uyVD19A8WycBaH7i8gWb3xb1L8La9NOasQWxBTZNM/fig==" saltValue="zLc63zdAM6afm9cP8Ou7gQ==" spinCount="100000" sheet="1" objects="1" scenarios="1" formatCells="0" selectLockedCells="1"/>
  <mergeCells count="68">
    <mergeCell ref="P15:Q15"/>
    <mergeCell ref="D7:D10"/>
    <mergeCell ref="E7:E10"/>
    <mergeCell ref="F7:F10"/>
    <mergeCell ref="G8:I8"/>
    <mergeCell ref="G7:R7"/>
    <mergeCell ref="J8:L8"/>
    <mergeCell ref="M8:O8"/>
    <mergeCell ref="P8:R8"/>
    <mergeCell ref="G9:I9"/>
    <mergeCell ref="J9:L9"/>
    <mergeCell ref="M9:O9"/>
    <mergeCell ref="P9:R9"/>
    <mergeCell ref="M10:N10"/>
    <mergeCell ref="J15:K15"/>
    <mergeCell ref="J10:K10"/>
    <mergeCell ref="J16:K16"/>
    <mergeCell ref="J17:K17"/>
    <mergeCell ref="J18:K18"/>
    <mergeCell ref="G11:H11"/>
    <mergeCell ref="G12:H12"/>
    <mergeCell ref="G13:H13"/>
    <mergeCell ref="G14:H14"/>
    <mergeCell ref="G15:H15"/>
    <mergeCell ref="J11:K11"/>
    <mergeCell ref="J12:K12"/>
    <mergeCell ref="J13:K13"/>
    <mergeCell ref="J14:K14"/>
    <mergeCell ref="M11:N11"/>
    <mergeCell ref="M12:N12"/>
    <mergeCell ref="M13:N13"/>
    <mergeCell ref="M14:N14"/>
    <mergeCell ref="M15:N15"/>
    <mergeCell ref="P10:Q10"/>
    <mergeCell ref="P11:Q11"/>
    <mergeCell ref="P12:Q12"/>
    <mergeCell ref="P13:Q13"/>
    <mergeCell ref="P14:Q14"/>
    <mergeCell ref="M22:O22"/>
    <mergeCell ref="P22:R22"/>
    <mergeCell ref="M16:N16"/>
    <mergeCell ref="M17:N17"/>
    <mergeCell ref="M18:N18"/>
    <mergeCell ref="P19:Q19"/>
    <mergeCell ref="P20:Q20"/>
    <mergeCell ref="M19:N19"/>
    <mergeCell ref="M20:N20"/>
    <mergeCell ref="M21:O21"/>
    <mergeCell ref="P21:R21"/>
    <mergeCell ref="P16:Q16"/>
    <mergeCell ref="P17:Q17"/>
    <mergeCell ref="P18:Q18"/>
    <mergeCell ref="C5:D5"/>
    <mergeCell ref="G5:K5"/>
    <mergeCell ref="C55:C57"/>
    <mergeCell ref="E21:E23"/>
    <mergeCell ref="G19:H19"/>
    <mergeCell ref="G20:H20"/>
    <mergeCell ref="J19:K19"/>
    <mergeCell ref="J20:K20"/>
    <mergeCell ref="G21:I21"/>
    <mergeCell ref="G22:I22"/>
    <mergeCell ref="J21:L21"/>
    <mergeCell ref="J22:L22"/>
    <mergeCell ref="G16:H16"/>
    <mergeCell ref="G17:H17"/>
    <mergeCell ref="G18:H18"/>
    <mergeCell ref="G10:H10"/>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26E1-1027-46CA-9D38-77C109E1C4BD}">
  <sheetPr codeName="Sheet6">
    <tabColor theme="7" tint="0.79998168889431442"/>
  </sheetPr>
  <dimension ref="B2:AP62"/>
  <sheetViews>
    <sheetView zoomScaleNormal="100" workbookViewId="0">
      <selection activeCell="C2" sqref="C2"/>
    </sheetView>
  </sheetViews>
  <sheetFormatPr defaultColWidth="9.1796875" defaultRowHeight="14.5" outlineLevelCol="1" x14ac:dyDescent="0.35"/>
  <cols>
    <col min="1" max="1" width="3.7265625" style="5" customWidth="1"/>
    <col min="2" max="2" width="50.7265625" style="5" customWidth="1"/>
    <col min="3" max="3" width="13.7265625" style="5" customWidth="1" outlineLevel="1"/>
    <col min="4" max="10" width="10.7265625" style="5" customWidth="1" outlineLevel="1"/>
    <col min="11" max="40" width="10.7265625" style="5" customWidth="1"/>
    <col min="41" max="16384" width="9.1796875" style="5"/>
  </cols>
  <sheetData>
    <row r="2" spans="2:42" ht="21" x14ac:dyDescent="0.5">
      <c r="B2" s="16" t="s">
        <v>746</v>
      </c>
    </row>
    <row r="6" spans="2:42" ht="15" thickBot="1" x14ac:dyDescent="0.4"/>
    <row r="7" spans="2:42" x14ac:dyDescent="0.35">
      <c r="J7" s="3"/>
      <c r="K7" s="1074" t="str">
        <f>'4 LAINAT'!G8</f>
        <v>Ennuste 1</v>
      </c>
      <c r="L7" s="1075"/>
      <c r="M7" s="1075"/>
      <c r="N7" s="1075"/>
      <c r="O7" s="1075"/>
      <c r="P7" s="1076"/>
      <c r="Q7" s="1074" t="str">
        <f>'4 LAINAT'!J8</f>
        <v>Ennuste 2</v>
      </c>
      <c r="R7" s="1075"/>
      <c r="S7" s="1075"/>
      <c r="T7" s="1075"/>
      <c r="U7" s="1075"/>
      <c r="V7" s="1076"/>
      <c r="W7" s="1074" t="str">
        <f>'4 LAINAT'!M8</f>
        <v>Ennuste 3</v>
      </c>
      <c r="X7" s="1075"/>
      <c r="Y7" s="1075"/>
      <c r="Z7" s="1075"/>
      <c r="AA7" s="1075"/>
      <c r="AB7" s="1076"/>
      <c r="AC7" s="1074" t="str">
        <f>'4 LAINAT'!P8</f>
        <v>Ennuste 4</v>
      </c>
      <c r="AD7" s="1075"/>
      <c r="AE7" s="1075"/>
      <c r="AF7" s="1075"/>
      <c r="AG7" s="1075"/>
      <c r="AH7" s="1076"/>
      <c r="AI7" s="1068" t="s">
        <v>771</v>
      </c>
      <c r="AJ7" s="1069"/>
      <c r="AK7" s="1069"/>
      <c r="AL7" s="1069"/>
      <c r="AM7" s="1069"/>
      <c r="AN7" s="1070"/>
    </row>
    <row r="8" spans="2:42" x14ac:dyDescent="0.35">
      <c r="B8" s="421" t="str">
        <f>'4 LAINAT'!C7</f>
        <v>NYKYISET PITKÄAIKAISET LAINAT</v>
      </c>
      <c r="C8" s="1080" t="str">
        <f>'4 LAINAT'!D7</f>
        <v>Lainamäärä viimeisessä tilinpäätöksessä</v>
      </c>
      <c r="D8" s="1082" t="str">
        <f>'4 LAINAT'!E7</f>
        <v>Laina-aikaa jäljellä (vuotta)</v>
      </c>
      <c r="E8" s="1082" t="str">
        <f>'4 LAINAT'!F7</f>
        <v>Korko-%</v>
      </c>
      <c r="F8" s="1082" t="s">
        <v>602</v>
      </c>
      <c r="G8" s="1082" t="s">
        <v>568</v>
      </c>
      <c r="H8" s="1082" t="s">
        <v>747</v>
      </c>
      <c r="I8" s="1082" t="s">
        <v>748</v>
      </c>
      <c r="J8" s="1084" t="s">
        <v>163</v>
      </c>
      <c r="K8" s="1077">
        <f>'4 LAINAT'!G9</f>
        <v>2026</v>
      </c>
      <c r="L8" s="1078"/>
      <c r="M8" s="1078"/>
      <c r="N8" s="1078"/>
      <c r="O8" s="1078"/>
      <c r="P8" s="1079"/>
      <c r="Q8" s="1077">
        <f>'4 LAINAT'!J9</f>
        <v>2027</v>
      </c>
      <c r="R8" s="1078"/>
      <c r="S8" s="1078"/>
      <c r="T8" s="1078"/>
      <c r="U8" s="1078"/>
      <c r="V8" s="1079"/>
      <c r="W8" s="1077">
        <f>'4 LAINAT'!M9</f>
        <v>2028</v>
      </c>
      <c r="X8" s="1078"/>
      <c r="Y8" s="1078"/>
      <c r="Z8" s="1078"/>
      <c r="AA8" s="1078"/>
      <c r="AB8" s="1079"/>
      <c r="AC8" s="1077">
        <f>'4 LAINAT'!P9</f>
        <v>2029</v>
      </c>
      <c r="AD8" s="1078"/>
      <c r="AE8" s="1078"/>
      <c r="AF8" s="1078"/>
      <c r="AG8" s="1078"/>
      <c r="AH8" s="1079"/>
      <c r="AI8" s="1071">
        <f>'4 LAINAT'!P9+1</f>
        <v>2030</v>
      </c>
      <c r="AJ8" s="1072"/>
      <c r="AK8" s="1072"/>
      <c r="AL8" s="1072"/>
      <c r="AM8" s="1072"/>
      <c r="AN8" s="1073"/>
    </row>
    <row r="9" spans="2:42" ht="30" customHeight="1" x14ac:dyDescent="0.35">
      <c r="B9" s="422" t="s">
        <v>434</v>
      </c>
      <c r="C9" s="1081"/>
      <c r="D9" s="1083"/>
      <c r="E9" s="1083"/>
      <c r="F9" s="1083"/>
      <c r="G9" s="1083"/>
      <c r="H9" s="1083"/>
      <c r="I9" s="1083"/>
      <c r="J9" s="1085"/>
      <c r="K9" s="426" t="s">
        <v>602</v>
      </c>
      <c r="L9" s="424" t="s">
        <v>749</v>
      </c>
      <c r="M9" s="424" t="s">
        <v>568</v>
      </c>
      <c r="N9" s="424" t="s">
        <v>747</v>
      </c>
      <c r="O9" s="424" t="s">
        <v>748</v>
      </c>
      <c r="P9" s="427" t="s">
        <v>163</v>
      </c>
      <c r="Q9" s="426" t="s">
        <v>602</v>
      </c>
      <c r="R9" s="424" t="s">
        <v>749</v>
      </c>
      <c r="S9" s="424" t="s">
        <v>568</v>
      </c>
      <c r="T9" s="424" t="s">
        <v>747</v>
      </c>
      <c r="U9" s="424" t="s">
        <v>748</v>
      </c>
      <c r="V9" s="427" t="s">
        <v>163</v>
      </c>
      <c r="W9" s="426" t="s">
        <v>602</v>
      </c>
      <c r="X9" s="424" t="s">
        <v>749</v>
      </c>
      <c r="Y9" s="424" t="s">
        <v>568</v>
      </c>
      <c r="Z9" s="424" t="s">
        <v>747</v>
      </c>
      <c r="AA9" s="424" t="s">
        <v>748</v>
      </c>
      <c r="AB9" s="427" t="s">
        <v>163</v>
      </c>
      <c r="AC9" s="426" t="s">
        <v>602</v>
      </c>
      <c r="AD9" s="424" t="s">
        <v>749</v>
      </c>
      <c r="AE9" s="424" t="s">
        <v>568</v>
      </c>
      <c r="AF9" s="424" t="s">
        <v>747</v>
      </c>
      <c r="AG9" s="424" t="s">
        <v>748</v>
      </c>
      <c r="AH9" s="427" t="s">
        <v>163</v>
      </c>
      <c r="AI9" s="426" t="s">
        <v>602</v>
      </c>
      <c r="AJ9" s="424" t="s">
        <v>749</v>
      </c>
      <c r="AK9" s="424" t="s">
        <v>568</v>
      </c>
      <c r="AL9" s="424" t="s">
        <v>747</v>
      </c>
      <c r="AM9" s="424" t="s">
        <v>748</v>
      </c>
      <c r="AN9" s="427" t="s">
        <v>163</v>
      </c>
    </row>
    <row r="10" spans="2:42" x14ac:dyDescent="0.35">
      <c r="B10" s="382" t="str">
        <f>'4 LAINAT'!C11</f>
        <v>Rahoittaja/rahoitettava kohde</v>
      </c>
      <c r="C10" s="151">
        <f>'4 LAINAT'!D11</f>
        <v>0</v>
      </c>
      <c r="D10" s="383">
        <f>'4 LAINAT'!E11</f>
        <v>0</v>
      </c>
      <c r="E10" s="384">
        <f>'4 LAINAT'!F11</f>
        <v>0</v>
      </c>
      <c r="F10" s="282"/>
      <c r="G10" s="282"/>
      <c r="H10" s="282"/>
      <c r="I10" s="282"/>
      <c r="J10" s="763"/>
      <c r="K10" s="557"/>
      <c r="L10" s="151"/>
      <c r="M10" s="151">
        <f>'4 LAINAT'!G11</f>
        <v>0</v>
      </c>
      <c r="N10" s="151">
        <f>O10+M10/4</f>
        <v>0</v>
      </c>
      <c r="O10" s="151">
        <f>C10</f>
        <v>0</v>
      </c>
      <c r="P10" s="177">
        <f>'4 LAINAT'!I11</f>
        <v>0</v>
      </c>
      <c r="Q10" s="557"/>
      <c r="R10" s="151"/>
      <c r="S10" s="151">
        <f>'4 LAINAT'!J11</f>
        <v>0</v>
      </c>
      <c r="T10" s="151">
        <f>O10-S10/4</f>
        <v>0</v>
      </c>
      <c r="U10" s="151">
        <f>O10-S10</f>
        <v>0</v>
      </c>
      <c r="V10" s="177">
        <f>'4 LAINAT'!L11</f>
        <v>0</v>
      </c>
      <c r="W10" s="557"/>
      <c r="X10" s="151"/>
      <c r="Y10" s="151">
        <f>'4 LAINAT'!M11</f>
        <v>0</v>
      </c>
      <c r="Z10" s="151">
        <f>U10-Y10/4</f>
        <v>0</v>
      </c>
      <c r="AA10" s="151">
        <f>U10-Y10</f>
        <v>0</v>
      </c>
      <c r="AB10" s="177">
        <f>'4 LAINAT'!O11</f>
        <v>0</v>
      </c>
      <c r="AC10" s="557"/>
      <c r="AD10" s="151"/>
      <c r="AE10" s="151">
        <f>'4 LAINAT'!P11</f>
        <v>0</v>
      </c>
      <c r="AF10" s="151">
        <f>AA10-AE10/4</f>
        <v>0</v>
      </c>
      <c r="AG10" s="151">
        <f>AA10-AE10</f>
        <v>0</v>
      </c>
      <c r="AH10" s="177">
        <f>'4 LAINAT'!R11</f>
        <v>0</v>
      </c>
      <c r="AI10" s="557"/>
      <c r="AJ10" s="151"/>
      <c r="AK10" s="151">
        <f>IF(D10=0,0,IF(C10-S10-Y10-AE10&lt;AE10,AG10,AE10))</f>
        <v>0</v>
      </c>
      <c r="AL10" s="151">
        <f>AG10-AK10/4</f>
        <v>0</v>
      </c>
      <c r="AM10" s="151">
        <f>AG10-AK10</f>
        <v>0</v>
      </c>
      <c r="AN10" s="177"/>
      <c r="AP10" s="129"/>
    </row>
    <row r="11" spans="2:42" x14ac:dyDescent="0.35">
      <c r="B11" s="382">
        <f>'4 LAINAT'!C12</f>
        <v>0</v>
      </c>
      <c r="C11" s="151">
        <f>'4 LAINAT'!D12</f>
        <v>0</v>
      </c>
      <c r="D11" s="383">
        <f>'4 LAINAT'!E12</f>
        <v>0</v>
      </c>
      <c r="E11" s="384">
        <f>'4 LAINAT'!F12</f>
        <v>0</v>
      </c>
      <c r="F11" s="282"/>
      <c r="G11" s="282"/>
      <c r="H11" s="282"/>
      <c r="I11" s="282"/>
      <c r="J11" s="763"/>
      <c r="K11" s="557"/>
      <c r="L11" s="151"/>
      <c r="M11" s="151">
        <f>'4 LAINAT'!G12</f>
        <v>0</v>
      </c>
      <c r="N11" s="151">
        <f t="shared" ref="N11:N17" si="0">O11+M11/4</f>
        <v>0</v>
      </c>
      <c r="O11" s="151">
        <f t="shared" ref="O11:O17" si="1">C11</f>
        <v>0</v>
      </c>
      <c r="P11" s="177">
        <f>'4 LAINAT'!I12</f>
        <v>0</v>
      </c>
      <c r="Q11" s="557"/>
      <c r="R11" s="151"/>
      <c r="S11" s="151">
        <f>'4 LAINAT'!J12</f>
        <v>0</v>
      </c>
      <c r="T11" s="151">
        <f t="shared" ref="T11:T17" si="2">O11-S11/4</f>
        <v>0</v>
      </c>
      <c r="U11" s="151">
        <f t="shared" ref="U11:U17" si="3">O11-S11</f>
        <v>0</v>
      </c>
      <c r="V11" s="177">
        <f>'4 LAINAT'!L12</f>
        <v>0</v>
      </c>
      <c r="W11" s="557"/>
      <c r="X11" s="151"/>
      <c r="Y11" s="151">
        <f>'4 LAINAT'!M12</f>
        <v>0</v>
      </c>
      <c r="Z11" s="151">
        <f t="shared" ref="Z11:Z17" si="4">U11-Y11/4</f>
        <v>0</v>
      </c>
      <c r="AA11" s="151">
        <f t="shared" ref="AA11:AA17" si="5">U11-Y11</f>
        <v>0</v>
      </c>
      <c r="AB11" s="177">
        <f>'4 LAINAT'!O12</f>
        <v>0</v>
      </c>
      <c r="AC11" s="557"/>
      <c r="AD11" s="151"/>
      <c r="AE11" s="151">
        <f>'4 LAINAT'!P12</f>
        <v>0</v>
      </c>
      <c r="AF11" s="151">
        <f t="shared" ref="AF11:AF16" si="6">AA11-AE11/4</f>
        <v>0</v>
      </c>
      <c r="AG11" s="151">
        <f t="shared" ref="AG11:AG17" si="7">AA11-AE11</f>
        <v>0</v>
      </c>
      <c r="AH11" s="177">
        <f>'4 LAINAT'!R12</f>
        <v>0</v>
      </c>
      <c r="AI11" s="557"/>
      <c r="AJ11" s="151"/>
      <c r="AK11" s="151">
        <f t="shared" ref="AK11:AK17" si="8">IF(D11=0,0,IF(C11-S11-Y11-AE11&lt;AE11,AG11,AE11))</f>
        <v>0</v>
      </c>
      <c r="AL11" s="151">
        <f t="shared" ref="AL11:AL15" si="9">AG11-AK11/4</f>
        <v>0</v>
      </c>
      <c r="AM11" s="151">
        <f t="shared" ref="AM11:AM15" si="10">AG11-AK11</f>
        <v>0</v>
      </c>
      <c r="AN11" s="177"/>
    </row>
    <row r="12" spans="2:42" x14ac:dyDescent="0.35">
      <c r="B12" s="382">
        <f>'4 LAINAT'!C13</f>
        <v>0</v>
      </c>
      <c r="C12" s="151">
        <f>'4 LAINAT'!D13</f>
        <v>0</v>
      </c>
      <c r="D12" s="383">
        <f>'4 LAINAT'!E13</f>
        <v>0</v>
      </c>
      <c r="E12" s="384">
        <f>'4 LAINAT'!F13</f>
        <v>0</v>
      </c>
      <c r="F12" s="282"/>
      <c r="G12" s="282"/>
      <c r="H12" s="282"/>
      <c r="I12" s="282"/>
      <c r="J12" s="763"/>
      <c r="K12" s="557"/>
      <c r="L12" s="151"/>
      <c r="M12" s="151">
        <f>'4 LAINAT'!G13</f>
        <v>0</v>
      </c>
      <c r="N12" s="151">
        <f t="shared" si="0"/>
        <v>0</v>
      </c>
      <c r="O12" s="151">
        <f t="shared" si="1"/>
        <v>0</v>
      </c>
      <c r="P12" s="177">
        <f>'4 LAINAT'!I13</f>
        <v>0</v>
      </c>
      <c r="Q12" s="557"/>
      <c r="R12" s="151"/>
      <c r="S12" s="151">
        <f>'4 LAINAT'!J13</f>
        <v>0</v>
      </c>
      <c r="T12" s="151">
        <f t="shared" si="2"/>
        <v>0</v>
      </c>
      <c r="U12" s="151">
        <f t="shared" si="3"/>
        <v>0</v>
      </c>
      <c r="V12" s="177">
        <f>'4 LAINAT'!L13</f>
        <v>0</v>
      </c>
      <c r="W12" s="557"/>
      <c r="X12" s="151"/>
      <c r="Y12" s="151">
        <f>'4 LAINAT'!M13</f>
        <v>0</v>
      </c>
      <c r="Z12" s="151">
        <f t="shared" si="4"/>
        <v>0</v>
      </c>
      <c r="AA12" s="151">
        <f t="shared" si="5"/>
        <v>0</v>
      </c>
      <c r="AB12" s="177">
        <f>'4 LAINAT'!O13</f>
        <v>0</v>
      </c>
      <c r="AC12" s="557"/>
      <c r="AD12" s="151"/>
      <c r="AE12" s="151">
        <f>'4 LAINAT'!P13</f>
        <v>0</v>
      </c>
      <c r="AF12" s="151">
        <f t="shared" si="6"/>
        <v>0</v>
      </c>
      <c r="AG12" s="151">
        <f t="shared" si="7"/>
        <v>0</v>
      </c>
      <c r="AH12" s="177">
        <f>'4 LAINAT'!R13</f>
        <v>0</v>
      </c>
      <c r="AI12" s="557"/>
      <c r="AJ12" s="151"/>
      <c r="AK12" s="151">
        <f t="shared" si="8"/>
        <v>0</v>
      </c>
      <c r="AL12" s="151">
        <f t="shared" si="9"/>
        <v>0</v>
      </c>
      <c r="AM12" s="151">
        <f t="shared" si="10"/>
        <v>0</v>
      </c>
      <c r="AN12" s="177"/>
    </row>
    <row r="13" spans="2:42" x14ac:dyDescent="0.35">
      <c r="B13" s="382">
        <f>'4 LAINAT'!C14</f>
        <v>0</v>
      </c>
      <c r="C13" s="151">
        <f>'4 LAINAT'!D14</f>
        <v>0</v>
      </c>
      <c r="D13" s="383">
        <f>'4 LAINAT'!E14</f>
        <v>0</v>
      </c>
      <c r="E13" s="384">
        <f>'4 LAINAT'!F14</f>
        <v>0</v>
      </c>
      <c r="F13" s="282"/>
      <c r="G13" s="282"/>
      <c r="H13" s="282"/>
      <c r="I13" s="282"/>
      <c r="J13" s="763"/>
      <c r="K13" s="557"/>
      <c r="L13" s="151"/>
      <c r="M13" s="151">
        <f>'4 LAINAT'!G14</f>
        <v>0</v>
      </c>
      <c r="N13" s="151">
        <f t="shared" si="0"/>
        <v>0</v>
      </c>
      <c r="O13" s="151">
        <f t="shared" si="1"/>
        <v>0</v>
      </c>
      <c r="P13" s="177">
        <f>'4 LAINAT'!I14</f>
        <v>0</v>
      </c>
      <c r="Q13" s="557"/>
      <c r="R13" s="151"/>
      <c r="S13" s="151">
        <f>'4 LAINAT'!J14</f>
        <v>0</v>
      </c>
      <c r="T13" s="151">
        <f t="shared" si="2"/>
        <v>0</v>
      </c>
      <c r="U13" s="151">
        <f t="shared" si="3"/>
        <v>0</v>
      </c>
      <c r="V13" s="177">
        <f>'4 LAINAT'!L14</f>
        <v>0</v>
      </c>
      <c r="W13" s="557"/>
      <c r="X13" s="151"/>
      <c r="Y13" s="151">
        <f>'4 LAINAT'!M14</f>
        <v>0</v>
      </c>
      <c r="Z13" s="151">
        <f t="shared" si="4"/>
        <v>0</v>
      </c>
      <c r="AA13" s="151">
        <f t="shared" si="5"/>
        <v>0</v>
      </c>
      <c r="AB13" s="177">
        <f>'4 LAINAT'!O14</f>
        <v>0</v>
      </c>
      <c r="AC13" s="557"/>
      <c r="AD13" s="151"/>
      <c r="AE13" s="151">
        <f>'4 LAINAT'!P14</f>
        <v>0</v>
      </c>
      <c r="AF13" s="151">
        <f t="shared" si="6"/>
        <v>0</v>
      </c>
      <c r="AG13" s="151">
        <f t="shared" si="7"/>
        <v>0</v>
      </c>
      <c r="AH13" s="177">
        <f>'4 LAINAT'!R14</f>
        <v>0</v>
      </c>
      <c r="AI13" s="557"/>
      <c r="AJ13" s="151"/>
      <c r="AK13" s="151">
        <f t="shared" si="8"/>
        <v>0</v>
      </c>
      <c r="AL13" s="151">
        <f t="shared" si="9"/>
        <v>0</v>
      </c>
      <c r="AM13" s="151">
        <f t="shared" si="10"/>
        <v>0</v>
      </c>
      <c r="AN13" s="177"/>
    </row>
    <row r="14" spans="2:42" x14ac:dyDescent="0.35">
      <c r="B14" s="382">
        <f>'4 LAINAT'!C15</f>
        <v>0</v>
      </c>
      <c r="C14" s="151">
        <f>'4 LAINAT'!D15</f>
        <v>0</v>
      </c>
      <c r="D14" s="383">
        <f>'4 LAINAT'!E15</f>
        <v>0</v>
      </c>
      <c r="E14" s="384">
        <f>'4 LAINAT'!F15</f>
        <v>0</v>
      </c>
      <c r="F14" s="282"/>
      <c r="G14" s="282"/>
      <c r="H14" s="282"/>
      <c r="I14" s="282"/>
      <c r="J14" s="763"/>
      <c r="K14" s="557"/>
      <c r="L14" s="151"/>
      <c r="M14" s="151">
        <f>'4 LAINAT'!G15</f>
        <v>0</v>
      </c>
      <c r="N14" s="151">
        <f t="shared" si="0"/>
        <v>0</v>
      </c>
      <c r="O14" s="151">
        <f t="shared" si="1"/>
        <v>0</v>
      </c>
      <c r="P14" s="177">
        <f>'4 LAINAT'!I15</f>
        <v>0</v>
      </c>
      <c r="Q14" s="557"/>
      <c r="R14" s="151"/>
      <c r="S14" s="151">
        <f>'4 LAINAT'!J15</f>
        <v>0</v>
      </c>
      <c r="T14" s="151">
        <f t="shared" si="2"/>
        <v>0</v>
      </c>
      <c r="U14" s="151">
        <f t="shared" si="3"/>
        <v>0</v>
      </c>
      <c r="V14" s="177">
        <f>'4 LAINAT'!L15</f>
        <v>0</v>
      </c>
      <c r="W14" s="557"/>
      <c r="X14" s="151"/>
      <c r="Y14" s="151">
        <f>'4 LAINAT'!M15</f>
        <v>0</v>
      </c>
      <c r="Z14" s="151">
        <f t="shared" si="4"/>
        <v>0</v>
      </c>
      <c r="AA14" s="151">
        <f t="shared" si="5"/>
        <v>0</v>
      </c>
      <c r="AB14" s="177">
        <f>'4 LAINAT'!O15</f>
        <v>0</v>
      </c>
      <c r="AC14" s="557"/>
      <c r="AD14" s="151"/>
      <c r="AE14" s="151">
        <f>'4 LAINAT'!P15</f>
        <v>0</v>
      </c>
      <c r="AF14" s="151">
        <f t="shared" si="6"/>
        <v>0</v>
      </c>
      <c r="AG14" s="151">
        <f t="shared" si="7"/>
        <v>0</v>
      </c>
      <c r="AH14" s="177">
        <f>'4 LAINAT'!R15</f>
        <v>0</v>
      </c>
      <c r="AI14" s="557"/>
      <c r="AJ14" s="151"/>
      <c r="AK14" s="151">
        <f t="shared" si="8"/>
        <v>0</v>
      </c>
      <c r="AL14" s="151">
        <f t="shared" si="9"/>
        <v>0</v>
      </c>
      <c r="AM14" s="151">
        <f t="shared" si="10"/>
        <v>0</v>
      </c>
      <c r="AN14" s="177"/>
    </row>
    <row r="15" spans="2:42" x14ac:dyDescent="0.35">
      <c r="B15" s="382">
        <f>'4 LAINAT'!C16</f>
        <v>0</v>
      </c>
      <c r="C15" s="151">
        <f>'4 LAINAT'!D16</f>
        <v>0</v>
      </c>
      <c r="D15" s="383">
        <f>'4 LAINAT'!E16</f>
        <v>0</v>
      </c>
      <c r="E15" s="384">
        <f>'4 LAINAT'!F16</f>
        <v>0</v>
      </c>
      <c r="F15" s="282"/>
      <c r="G15" s="282"/>
      <c r="H15" s="282"/>
      <c r="I15" s="282"/>
      <c r="J15" s="763"/>
      <c r="K15" s="557"/>
      <c r="L15" s="151"/>
      <c r="M15" s="151">
        <f>'4 LAINAT'!G16</f>
        <v>0</v>
      </c>
      <c r="N15" s="151">
        <f t="shared" si="0"/>
        <v>0</v>
      </c>
      <c r="O15" s="151">
        <f t="shared" si="1"/>
        <v>0</v>
      </c>
      <c r="P15" s="177">
        <f>'4 LAINAT'!I16</f>
        <v>0</v>
      </c>
      <c r="Q15" s="557"/>
      <c r="R15" s="151"/>
      <c r="S15" s="151">
        <f>'4 LAINAT'!J16</f>
        <v>0</v>
      </c>
      <c r="T15" s="151">
        <f t="shared" si="2"/>
        <v>0</v>
      </c>
      <c r="U15" s="151">
        <f t="shared" si="3"/>
        <v>0</v>
      </c>
      <c r="V15" s="177">
        <f>'4 LAINAT'!L16</f>
        <v>0</v>
      </c>
      <c r="W15" s="557"/>
      <c r="X15" s="151"/>
      <c r="Y15" s="151">
        <f>'4 LAINAT'!M16</f>
        <v>0</v>
      </c>
      <c r="Z15" s="151">
        <f t="shared" si="4"/>
        <v>0</v>
      </c>
      <c r="AA15" s="151">
        <f t="shared" si="5"/>
        <v>0</v>
      </c>
      <c r="AB15" s="177">
        <f>'4 LAINAT'!O16</f>
        <v>0</v>
      </c>
      <c r="AC15" s="557"/>
      <c r="AD15" s="151"/>
      <c r="AE15" s="151">
        <f>'4 LAINAT'!P16</f>
        <v>0</v>
      </c>
      <c r="AF15" s="151">
        <f t="shared" si="6"/>
        <v>0</v>
      </c>
      <c r="AG15" s="151">
        <f t="shared" si="7"/>
        <v>0</v>
      </c>
      <c r="AH15" s="177">
        <f>'4 LAINAT'!R16</f>
        <v>0</v>
      </c>
      <c r="AI15" s="557"/>
      <c r="AJ15" s="151"/>
      <c r="AK15" s="151">
        <f t="shared" si="8"/>
        <v>0</v>
      </c>
      <c r="AL15" s="151">
        <f t="shared" si="9"/>
        <v>0</v>
      </c>
      <c r="AM15" s="151">
        <f t="shared" si="10"/>
        <v>0</v>
      </c>
      <c r="AN15" s="177"/>
    </row>
    <row r="16" spans="2:42" x14ac:dyDescent="0.35">
      <c r="B16" s="382">
        <f>'4 LAINAT'!C17</f>
        <v>0</v>
      </c>
      <c r="C16" s="151">
        <f>'4 LAINAT'!D17</f>
        <v>0</v>
      </c>
      <c r="D16" s="383">
        <f>'4 LAINAT'!E17</f>
        <v>0</v>
      </c>
      <c r="E16" s="384">
        <f>'4 LAINAT'!F17</f>
        <v>0</v>
      </c>
      <c r="F16" s="282"/>
      <c r="G16" s="282"/>
      <c r="H16" s="282"/>
      <c r="I16" s="282"/>
      <c r="J16" s="763"/>
      <c r="K16" s="557"/>
      <c r="L16" s="151"/>
      <c r="M16" s="151">
        <f>'4 LAINAT'!G17</f>
        <v>0</v>
      </c>
      <c r="N16" s="151">
        <f t="shared" si="0"/>
        <v>0</v>
      </c>
      <c r="O16" s="151">
        <f t="shared" si="1"/>
        <v>0</v>
      </c>
      <c r="P16" s="177">
        <f>'4 LAINAT'!I17</f>
        <v>0</v>
      </c>
      <c r="Q16" s="557"/>
      <c r="R16" s="151"/>
      <c r="S16" s="151">
        <f>'4 LAINAT'!J17</f>
        <v>0</v>
      </c>
      <c r="T16" s="151">
        <f t="shared" si="2"/>
        <v>0</v>
      </c>
      <c r="U16" s="151">
        <f t="shared" si="3"/>
        <v>0</v>
      </c>
      <c r="V16" s="177">
        <f>'4 LAINAT'!L17</f>
        <v>0</v>
      </c>
      <c r="W16" s="557"/>
      <c r="X16" s="151"/>
      <c r="Y16" s="151">
        <f>'4 LAINAT'!M17</f>
        <v>0</v>
      </c>
      <c r="Z16" s="151">
        <f t="shared" si="4"/>
        <v>0</v>
      </c>
      <c r="AA16" s="151">
        <f t="shared" si="5"/>
        <v>0</v>
      </c>
      <c r="AB16" s="177">
        <f>'4 LAINAT'!O17</f>
        <v>0</v>
      </c>
      <c r="AC16" s="557"/>
      <c r="AD16" s="151"/>
      <c r="AE16" s="151">
        <f>'4 LAINAT'!P17</f>
        <v>0</v>
      </c>
      <c r="AF16" s="151">
        <f t="shared" si="6"/>
        <v>0</v>
      </c>
      <c r="AG16" s="151">
        <f t="shared" si="7"/>
        <v>0</v>
      </c>
      <c r="AH16" s="177">
        <f>'4 LAINAT'!R17</f>
        <v>0</v>
      </c>
      <c r="AI16" s="557"/>
      <c r="AJ16" s="151"/>
      <c r="AK16" s="151">
        <f t="shared" si="8"/>
        <v>0</v>
      </c>
      <c r="AL16" s="151">
        <f>AG16-AK16/4</f>
        <v>0</v>
      </c>
      <c r="AM16" s="151">
        <f>AG16-AK16</f>
        <v>0</v>
      </c>
      <c r="AN16" s="177"/>
    </row>
    <row r="17" spans="2:40" ht="15" thickBot="1" x14ac:dyDescent="0.4">
      <c r="B17" s="385" t="str">
        <f>'4 LAINAT'!C18</f>
        <v>Luotollinen tili</v>
      </c>
      <c r="C17" s="153">
        <f>'4 LAINAT'!D18</f>
        <v>0</v>
      </c>
      <c r="D17" s="386">
        <f>'4 LAINAT'!E18</f>
        <v>0</v>
      </c>
      <c r="E17" s="387">
        <f>'4 LAINAT'!F18</f>
        <v>0</v>
      </c>
      <c r="F17" s="283"/>
      <c r="G17" s="283"/>
      <c r="H17" s="283"/>
      <c r="I17" s="283"/>
      <c r="J17" s="764"/>
      <c r="K17" s="559"/>
      <c r="L17" s="153"/>
      <c r="M17" s="153">
        <f>'4 LAINAT'!G18</f>
        <v>0</v>
      </c>
      <c r="N17" s="153">
        <f t="shared" si="0"/>
        <v>0</v>
      </c>
      <c r="O17" s="153">
        <f t="shared" si="1"/>
        <v>0</v>
      </c>
      <c r="P17" s="642">
        <f>'4 LAINAT'!I18</f>
        <v>0</v>
      </c>
      <c r="Q17" s="559"/>
      <c r="R17" s="153"/>
      <c r="S17" s="153">
        <f>'4 LAINAT'!J18</f>
        <v>0</v>
      </c>
      <c r="T17" s="153">
        <f t="shared" si="2"/>
        <v>0</v>
      </c>
      <c r="U17" s="153">
        <f t="shared" si="3"/>
        <v>0</v>
      </c>
      <c r="V17" s="642">
        <f>'4 LAINAT'!L18</f>
        <v>0</v>
      </c>
      <c r="W17" s="559"/>
      <c r="X17" s="153"/>
      <c r="Y17" s="153">
        <f>'4 LAINAT'!M18</f>
        <v>0</v>
      </c>
      <c r="Z17" s="153">
        <f t="shared" si="4"/>
        <v>0</v>
      </c>
      <c r="AA17" s="153">
        <f t="shared" si="5"/>
        <v>0</v>
      </c>
      <c r="AB17" s="642">
        <f>'4 LAINAT'!O18</f>
        <v>0</v>
      </c>
      <c r="AC17" s="559"/>
      <c r="AD17" s="153"/>
      <c r="AE17" s="153">
        <f>'4 LAINAT'!P18</f>
        <v>0</v>
      </c>
      <c r="AF17" s="153">
        <f>AA17-AE17/4</f>
        <v>0</v>
      </c>
      <c r="AG17" s="153">
        <f t="shared" si="7"/>
        <v>0</v>
      </c>
      <c r="AH17" s="642">
        <f>'4 LAINAT'!R18</f>
        <v>0</v>
      </c>
      <c r="AI17" s="559"/>
      <c r="AJ17" s="153"/>
      <c r="AK17" s="153">
        <f t="shared" si="8"/>
        <v>0</v>
      </c>
      <c r="AL17" s="153">
        <f>AG17-AK17/4</f>
        <v>0</v>
      </c>
      <c r="AM17" s="153">
        <f>AG17-AK17</f>
        <v>0</v>
      </c>
      <c r="AN17" s="642"/>
    </row>
    <row r="18" spans="2:40" ht="15" thickTop="1" x14ac:dyDescent="0.35">
      <c r="B18" s="101" t="s">
        <v>564</v>
      </c>
      <c r="C18" s="761">
        <f>SUM(C10:C17)</f>
        <v>0</v>
      </c>
      <c r="D18" s="101"/>
      <c r="E18" s="101"/>
      <c r="F18" s="761">
        <f t="shared" ref="F18" si="11">SUM(F10:F17)</f>
        <v>0</v>
      </c>
      <c r="G18" s="761">
        <f t="shared" ref="G18" si="12">SUM(G10:G17)</f>
        <v>0</v>
      </c>
      <c r="H18" s="761">
        <f t="shared" ref="H18" si="13">SUM(H10:H17)</f>
        <v>0</v>
      </c>
      <c r="I18" s="761">
        <f t="shared" ref="I18" si="14">SUM(I10:I17)</f>
        <v>0</v>
      </c>
      <c r="J18" s="765">
        <f t="shared" ref="J18" si="15">SUM(J10:J17)</f>
        <v>0</v>
      </c>
      <c r="K18" s="760">
        <f>SUM(K10:K17)</f>
        <v>0</v>
      </c>
      <c r="L18" s="761">
        <f t="shared" ref="L18" si="16">SUM(L10:L17)</f>
        <v>0</v>
      </c>
      <c r="M18" s="761">
        <f>SUM(M10:M17)</f>
        <v>0</v>
      </c>
      <c r="N18" s="761">
        <f t="shared" ref="N18" si="17">SUM(N10:N17)</f>
        <v>0</v>
      </c>
      <c r="O18" s="761">
        <f>SUM(O10:O17)</f>
        <v>0</v>
      </c>
      <c r="P18" s="762">
        <f t="shared" ref="P18" si="18">SUM(P10:P17)</f>
        <v>0</v>
      </c>
      <c r="Q18" s="760">
        <f t="shared" ref="Q18" si="19">SUM(Q10:Q17)</f>
        <v>0</v>
      </c>
      <c r="R18" s="761">
        <f t="shared" ref="R18" si="20">SUM(R10:R17)</f>
        <v>0</v>
      </c>
      <c r="S18" s="761">
        <f>SUM(S10:S17)</f>
        <v>0</v>
      </c>
      <c r="T18" s="761">
        <f t="shared" ref="T18" si="21">SUM(T10:T17)</f>
        <v>0</v>
      </c>
      <c r="U18" s="761">
        <f>SUM(U10:U17)</f>
        <v>0</v>
      </c>
      <c r="V18" s="762">
        <f t="shared" ref="V18:AN18" si="22">SUM(V10:V17)</f>
        <v>0</v>
      </c>
      <c r="W18" s="760">
        <f t="shared" si="22"/>
        <v>0</v>
      </c>
      <c r="X18" s="761">
        <f t="shared" si="22"/>
        <v>0</v>
      </c>
      <c r="Y18" s="761">
        <f t="shared" si="22"/>
        <v>0</v>
      </c>
      <c r="Z18" s="761">
        <f t="shared" si="22"/>
        <v>0</v>
      </c>
      <c r="AA18" s="761">
        <f t="shared" si="22"/>
        <v>0</v>
      </c>
      <c r="AB18" s="762">
        <f t="shared" si="22"/>
        <v>0</v>
      </c>
      <c r="AC18" s="760">
        <f t="shared" si="22"/>
        <v>0</v>
      </c>
      <c r="AD18" s="761">
        <f t="shared" si="22"/>
        <v>0</v>
      </c>
      <c r="AE18" s="761">
        <f t="shared" si="22"/>
        <v>0</v>
      </c>
      <c r="AF18" s="761">
        <f t="shared" si="22"/>
        <v>0</v>
      </c>
      <c r="AG18" s="761">
        <f t="shared" si="22"/>
        <v>0</v>
      </c>
      <c r="AH18" s="762">
        <f t="shared" si="22"/>
        <v>0</v>
      </c>
      <c r="AI18" s="760">
        <f t="shared" si="22"/>
        <v>0</v>
      </c>
      <c r="AJ18" s="761">
        <f t="shared" si="22"/>
        <v>0</v>
      </c>
      <c r="AK18" s="761">
        <f t="shared" si="22"/>
        <v>0</v>
      </c>
      <c r="AL18" s="761">
        <f t="shared" si="22"/>
        <v>0</v>
      </c>
      <c r="AM18" s="761">
        <f t="shared" si="22"/>
        <v>0</v>
      </c>
      <c r="AN18" s="762">
        <f t="shared" si="22"/>
        <v>0</v>
      </c>
    </row>
    <row r="19" spans="2:40" ht="39" x14ac:dyDescent="0.35">
      <c r="B19" s="423" t="str">
        <f>'4 LAINAT'!C21</f>
        <v>UUDET PITKÄAIKAISET LAINAT</v>
      </c>
      <c r="C19" s="424" t="str">
        <f>C8</f>
        <v>Lainamäärä viimeisessä tilinpäätöksessä</v>
      </c>
      <c r="D19" s="424" t="str">
        <f>D8</f>
        <v>Laina-aikaa jäljellä (vuotta)</v>
      </c>
      <c r="E19" s="424" t="str">
        <f>E8</f>
        <v>Korko-%</v>
      </c>
      <c r="F19" s="424" t="s">
        <v>602</v>
      </c>
      <c r="G19" s="424" t="s">
        <v>568</v>
      </c>
      <c r="H19" s="424" t="s">
        <v>747</v>
      </c>
      <c r="I19" s="424" t="s">
        <v>748</v>
      </c>
      <c r="J19" s="425" t="s">
        <v>163</v>
      </c>
      <c r="K19" s="426" t="s">
        <v>602</v>
      </c>
      <c r="L19" s="424" t="s">
        <v>749</v>
      </c>
      <c r="M19" s="424" t="s">
        <v>568</v>
      </c>
      <c r="N19" s="424" t="s">
        <v>747</v>
      </c>
      <c r="O19" s="424" t="s">
        <v>748</v>
      </c>
      <c r="P19" s="427" t="s">
        <v>163</v>
      </c>
      <c r="Q19" s="426" t="s">
        <v>602</v>
      </c>
      <c r="R19" s="424" t="s">
        <v>749</v>
      </c>
      <c r="S19" s="424" t="s">
        <v>568</v>
      </c>
      <c r="T19" s="424" t="s">
        <v>747</v>
      </c>
      <c r="U19" s="424" t="s">
        <v>748</v>
      </c>
      <c r="V19" s="427" t="s">
        <v>163</v>
      </c>
      <c r="W19" s="426" t="s">
        <v>602</v>
      </c>
      <c r="X19" s="424" t="s">
        <v>749</v>
      </c>
      <c r="Y19" s="424" t="s">
        <v>568</v>
      </c>
      <c r="Z19" s="424" t="s">
        <v>747</v>
      </c>
      <c r="AA19" s="424" t="s">
        <v>748</v>
      </c>
      <c r="AB19" s="427" t="s">
        <v>163</v>
      </c>
      <c r="AC19" s="426" t="s">
        <v>602</v>
      </c>
      <c r="AD19" s="424" t="s">
        <v>749</v>
      </c>
      <c r="AE19" s="424" t="s">
        <v>568</v>
      </c>
      <c r="AF19" s="424" t="s">
        <v>747</v>
      </c>
      <c r="AG19" s="424" t="s">
        <v>748</v>
      </c>
      <c r="AH19" s="427" t="s">
        <v>163</v>
      </c>
      <c r="AI19" s="426" t="s">
        <v>602</v>
      </c>
      <c r="AJ19" s="424" t="s">
        <v>749</v>
      </c>
      <c r="AK19" s="424" t="s">
        <v>568</v>
      </c>
      <c r="AL19" s="424" t="s">
        <v>747</v>
      </c>
      <c r="AM19" s="424" t="s">
        <v>748</v>
      </c>
      <c r="AN19" s="427" t="s">
        <v>163</v>
      </c>
    </row>
    <row r="20" spans="2:40" x14ac:dyDescent="0.35">
      <c r="B20" s="398" t="str">
        <f>'4 LAINAT'!C23</f>
        <v>Luotonantaja</v>
      </c>
      <c r="K20" s="174"/>
      <c r="P20" s="193"/>
      <c r="Q20" s="174"/>
      <c r="V20" s="193"/>
      <c r="W20" s="174"/>
      <c r="AB20" s="193"/>
      <c r="AC20" s="174"/>
      <c r="AH20" s="193"/>
      <c r="AI20" s="174"/>
      <c r="AN20" s="193"/>
    </row>
    <row r="21" spans="2:40" x14ac:dyDescent="0.35">
      <c r="B21" s="396" t="str">
        <f>'4 LAINAT'!C24</f>
        <v>1. vuonna nostettavat lainat</v>
      </c>
      <c r="C21" s="241"/>
      <c r="D21" s="241"/>
      <c r="E21" s="241"/>
      <c r="F21" s="241"/>
      <c r="G21" s="241"/>
      <c r="H21" s="241"/>
      <c r="I21" s="241"/>
      <c r="J21" s="241"/>
      <c r="K21" s="321"/>
      <c r="L21" s="241"/>
      <c r="M21" s="241"/>
      <c r="N21" s="241"/>
      <c r="O21" s="241"/>
      <c r="P21" s="397"/>
      <c r="Q21" s="321"/>
      <c r="R21" s="241"/>
      <c r="S21" s="241"/>
      <c r="T21" s="241"/>
      <c r="U21" s="241"/>
      <c r="V21" s="397"/>
      <c r="W21" s="204"/>
      <c r="X21" s="3"/>
      <c r="Y21" s="3"/>
      <c r="Z21" s="3"/>
      <c r="AA21" s="3"/>
      <c r="AB21" s="395"/>
      <c r="AC21" s="204"/>
      <c r="AD21" s="3"/>
      <c r="AE21" s="3"/>
      <c r="AF21" s="3"/>
      <c r="AG21" s="3"/>
      <c r="AH21" s="395"/>
      <c r="AI21" s="204"/>
      <c r="AJ21" s="3"/>
      <c r="AK21" s="3"/>
      <c r="AL21" s="3"/>
      <c r="AM21" s="3"/>
      <c r="AN21" s="395"/>
    </row>
    <row r="22" spans="2:40" x14ac:dyDescent="0.35">
      <c r="B22" s="388" t="str">
        <f>'4 LAINAT'!C25</f>
        <v>Rahoittaja/rahoitettava kohde</v>
      </c>
      <c r="C22" s="145">
        <f>'4 LAINAT'!D25</f>
        <v>0</v>
      </c>
      <c r="D22" s="389">
        <f>'4 LAINAT'!E25</f>
        <v>0</v>
      </c>
      <c r="E22" s="390">
        <f>'4 LAINAT'!F25</f>
        <v>0</v>
      </c>
      <c r="F22" s="285"/>
      <c r="G22" s="285"/>
      <c r="H22" s="285"/>
      <c r="I22" s="285"/>
      <c r="J22" s="289"/>
      <c r="K22" s="552">
        <f>'4 LAINAT'!G25</f>
        <v>0</v>
      </c>
      <c r="L22" s="209">
        <f>IF(I22&gt;0,IF(D22-1&gt;0,D22-1,D22),D22)</f>
        <v>0</v>
      </c>
      <c r="M22" s="209">
        <f>'4 LAINAT'!H25</f>
        <v>0</v>
      </c>
      <c r="N22" s="209">
        <f>F22-G22+K22-M22/4</f>
        <v>0</v>
      </c>
      <c r="O22" s="209">
        <f>K22-M22</f>
        <v>0</v>
      </c>
      <c r="P22" s="689">
        <f>IF($E22*N22&lt;0,0,N22*$E22)</f>
        <v>0</v>
      </c>
      <c r="Q22" s="552">
        <f>'4 LAINAT'!J25</f>
        <v>0</v>
      </c>
      <c r="R22" s="209">
        <f>IF(F22=0,IF(K22=0,L22,$D22-1),$D22-2)</f>
        <v>0</v>
      </c>
      <c r="S22" s="209">
        <f>'4 LAINAT'!K25</f>
        <v>0</v>
      </c>
      <c r="T22" s="209">
        <f t="shared" ref="T22" si="23">O22+Q22-S22/4</f>
        <v>0</v>
      </c>
      <c r="U22" s="209">
        <f t="shared" ref="U22" si="24">O22+Q22-S22</f>
        <v>0</v>
      </c>
      <c r="V22" s="689">
        <f>IF($E22*T22&lt;0,0,T22*$E22)</f>
        <v>0</v>
      </c>
      <c r="W22" s="552">
        <f>'4 LAINAT'!M25</f>
        <v>0</v>
      </c>
      <c r="X22" s="209">
        <f>IF(R22-1&gt;0,R22-1,0)</f>
        <v>0</v>
      </c>
      <c r="Y22" s="209">
        <f>'4 LAINAT'!N25</f>
        <v>0</v>
      </c>
      <c r="Z22" s="209">
        <f>(U22+W22-Y22/4)</f>
        <v>0</v>
      </c>
      <c r="AA22" s="209">
        <f>U22+W22-Y22</f>
        <v>0</v>
      </c>
      <c r="AB22" s="689">
        <f>IF($E22*Z22&lt;0,0,Z22*$E22)</f>
        <v>0</v>
      </c>
      <c r="AC22" s="552">
        <f>'4 LAINAT'!P25</f>
        <v>0</v>
      </c>
      <c r="AD22" s="209">
        <f>IF(X22-1&gt;0,X22-1,0)</f>
        <v>0</v>
      </c>
      <c r="AE22" s="209">
        <f>'4 LAINAT'!Q25</f>
        <v>0</v>
      </c>
      <c r="AF22" s="209">
        <f>(AA22+AC22-AE22/4)</f>
        <v>0</v>
      </c>
      <c r="AG22" s="209">
        <f>AA22+AC22-AE22</f>
        <v>0</v>
      </c>
      <c r="AH22" s="689">
        <f>IF($E22*AF22&lt;0,0,AF22*$E22)</f>
        <v>0</v>
      </c>
      <c r="AI22" s="552"/>
      <c r="AJ22" s="209">
        <f>IF(AD22-1&gt;0,AD22-1,0)</f>
        <v>0</v>
      </c>
      <c r="AK22" s="209">
        <f>IF(D22=0,0,IF(C22-S22-Y22-AE22-M22&lt;=0,0,IF(AG22&lt;AE22,AG22,AE22)))</f>
        <v>0</v>
      </c>
      <c r="AL22" s="209">
        <f>(AG22+AI22-AK22/4)</f>
        <v>0</v>
      </c>
      <c r="AM22" s="209">
        <f>AG22+AI22-AK22</f>
        <v>0</v>
      </c>
      <c r="AN22" s="689">
        <f>IF($E22*AL22&lt;0,0,AL22*$E22)</f>
        <v>0</v>
      </c>
    </row>
    <row r="23" spans="2:40" x14ac:dyDescent="0.35">
      <c r="B23" s="382">
        <f>'4 LAINAT'!C26</f>
        <v>0</v>
      </c>
      <c r="C23" s="53">
        <f>'4 LAINAT'!D26</f>
        <v>0</v>
      </c>
      <c r="D23" s="383">
        <f>'4 LAINAT'!E26</f>
        <v>0</v>
      </c>
      <c r="E23" s="384">
        <f>'4 LAINAT'!F26</f>
        <v>0</v>
      </c>
      <c r="F23" s="284"/>
      <c r="G23" s="284"/>
      <c r="H23" s="284"/>
      <c r="I23" s="284"/>
      <c r="J23" s="286"/>
      <c r="K23" s="557">
        <f>'4 LAINAT'!G26</f>
        <v>0</v>
      </c>
      <c r="L23" s="151">
        <f t="shared" ref="L23" si="25">IF(I23&gt;0,IF(D23-1&gt;0,D23-1,D23),D23)</f>
        <v>0</v>
      </c>
      <c r="M23" s="151">
        <f>'4 LAINAT'!H26</f>
        <v>0</v>
      </c>
      <c r="N23" s="151">
        <f t="shared" ref="N23:N24" si="26">F23-G23+K23-M23/4</f>
        <v>0</v>
      </c>
      <c r="O23" s="151">
        <f>K23-M23</f>
        <v>0</v>
      </c>
      <c r="P23" s="177">
        <f t="shared" ref="P23:P24" si="27">IF($E23*N23&lt;0,0,N23*$E23)</f>
        <v>0</v>
      </c>
      <c r="Q23" s="552">
        <f>'4 LAINAT'!J26</f>
        <v>0</v>
      </c>
      <c r="R23" s="209">
        <f t="shared" ref="R23:R24" si="28">IF(F23=0,IF(K23=0,L23,$D23-1),$D23-2)</f>
        <v>0</v>
      </c>
      <c r="S23" s="209">
        <f>'4 LAINAT'!K26</f>
        <v>0</v>
      </c>
      <c r="T23" s="209">
        <f t="shared" ref="T23:T24" si="29">O23+Q23-S23/4</f>
        <v>0</v>
      </c>
      <c r="U23" s="209">
        <f t="shared" ref="U23:U24" si="30">O23+Q23-S23</f>
        <v>0</v>
      </c>
      <c r="V23" s="689">
        <f t="shared" ref="V23:V24" si="31">IF($E23*T23&lt;0,0,T23*$E23)</f>
        <v>0</v>
      </c>
      <c r="W23" s="552">
        <f>'4 LAINAT'!M26</f>
        <v>0</v>
      </c>
      <c r="X23" s="209">
        <f t="shared" ref="X23:X36" si="32">IF(R23-1&gt;0,R23-1,0)</f>
        <v>0</v>
      </c>
      <c r="Y23" s="209">
        <f>'4 LAINAT'!N26</f>
        <v>0</v>
      </c>
      <c r="Z23" s="209">
        <f t="shared" ref="Z23:Z36" si="33">(U23+W23-Y23/4)</f>
        <v>0</v>
      </c>
      <c r="AA23" s="209">
        <f t="shared" ref="AA23:AA36" si="34">U23+W23-Y23</f>
        <v>0</v>
      </c>
      <c r="AB23" s="689">
        <f t="shared" ref="AB23:AB36" si="35">IF($E23*Z23&lt;0,0,Z23*$E23)</f>
        <v>0</v>
      </c>
      <c r="AC23" s="552">
        <f>'4 LAINAT'!P26</f>
        <v>0</v>
      </c>
      <c r="AD23" s="209">
        <f t="shared" ref="AD23:AD36" si="36">IF(X23-1&gt;0,X23-1,0)</f>
        <v>0</v>
      </c>
      <c r="AE23" s="209">
        <f>'4 LAINAT'!Q26</f>
        <v>0</v>
      </c>
      <c r="AF23" s="209">
        <f t="shared" ref="AF23:AF36" si="37">(AA23+AC23-AE23/4)</f>
        <v>0</v>
      </c>
      <c r="AG23" s="209">
        <f t="shared" ref="AG23:AG36" si="38">AA23+AC23-AE23</f>
        <v>0</v>
      </c>
      <c r="AH23" s="689">
        <f t="shared" ref="AH23:AH36" si="39">IF($E23*AF23&lt;0,0,AF23*$E23)</f>
        <v>0</v>
      </c>
      <c r="AI23" s="552"/>
      <c r="AJ23" s="209">
        <f>IF(AD23-1&gt;0,AD23-1,0)</f>
        <v>0</v>
      </c>
      <c r="AK23" s="209">
        <f>IF(D23=0,0,IF(C23-S23-Y23-AE23-M23&lt;=0,0,IF(AG23&lt;AE23,AG23,AE23)))</f>
        <v>0</v>
      </c>
      <c r="AL23" s="209">
        <f t="shared" ref="AL23:AL24" si="40">(AG23+AI23-AK23/4)</f>
        <v>0</v>
      </c>
      <c r="AM23" s="209">
        <f t="shared" ref="AM23:AM24" si="41">AG23+AI23-AK23</f>
        <v>0</v>
      </c>
      <c r="AN23" s="689">
        <f t="shared" ref="AN23:AN24" si="42">IF($E23*AL23&lt;0,0,AL23*$E23)</f>
        <v>0</v>
      </c>
    </row>
    <row r="24" spans="2:40" x14ac:dyDescent="0.35">
      <c r="B24" s="382">
        <f>'4 LAINAT'!C27</f>
        <v>0</v>
      </c>
      <c r="C24" s="53">
        <f>'4 LAINAT'!D27</f>
        <v>0</v>
      </c>
      <c r="D24" s="383">
        <f>'4 LAINAT'!E27</f>
        <v>0</v>
      </c>
      <c r="E24" s="384">
        <f>'4 LAINAT'!F27</f>
        <v>0</v>
      </c>
      <c r="F24" s="284"/>
      <c r="G24" s="284"/>
      <c r="H24" s="284"/>
      <c r="I24" s="284"/>
      <c r="J24" s="286"/>
      <c r="K24" s="557">
        <f>'4 LAINAT'!G27</f>
        <v>0</v>
      </c>
      <c r="L24" s="151">
        <f>IF(I24&gt;0,IF(D24-1&gt;0,D24-1,D24),D24)</f>
        <v>0</v>
      </c>
      <c r="M24" s="151">
        <f>'4 LAINAT'!H27</f>
        <v>0</v>
      </c>
      <c r="N24" s="151">
        <f t="shared" si="26"/>
        <v>0</v>
      </c>
      <c r="O24" s="151">
        <f>K24-M24</f>
        <v>0</v>
      </c>
      <c r="P24" s="177">
        <f t="shared" si="27"/>
        <v>0</v>
      </c>
      <c r="Q24" s="552">
        <f>'4 LAINAT'!J27</f>
        <v>0</v>
      </c>
      <c r="R24" s="209">
        <f t="shared" si="28"/>
        <v>0</v>
      </c>
      <c r="S24" s="209">
        <f>'4 LAINAT'!K27</f>
        <v>0</v>
      </c>
      <c r="T24" s="209">
        <f t="shared" si="29"/>
        <v>0</v>
      </c>
      <c r="U24" s="209">
        <f t="shared" si="30"/>
        <v>0</v>
      </c>
      <c r="V24" s="689">
        <f t="shared" si="31"/>
        <v>0</v>
      </c>
      <c r="W24" s="557">
        <f>'4 LAINAT'!M27</f>
        <v>0</v>
      </c>
      <c r="X24" s="151">
        <f t="shared" si="32"/>
        <v>0</v>
      </c>
      <c r="Y24" s="151">
        <f>'4 LAINAT'!N27</f>
        <v>0</v>
      </c>
      <c r="Z24" s="151">
        <f t="shared" si="33"/>
        <v>0</v>
      </c>
      <c r="AA24" s="151">
        <f t="shared" si="34"/>
        <v>0</v>
      </c>
      <c r="AB24" s="177">
        <f t="shared" si="35"/>
        <v>0</v>
      </c>
      <c r="AC24" s="557">
        <f>'4 LAINAT'!P27</f>
        <v>0</v>
      </c>
      <c r="AD24" s="151">
        <f t="shared" si="36"/>
        <v>0</v>
      </c>
      <c r="AE24" s="151">
        <f>'4 LAINAT'!Q27</f>
        <v>0</v>
      </c>
      <c r="AF24" s="151">
        <f t="shared" si="37"/>
        <v>0</v>
      </c>
      <c r="AG24" s="151">
        <f t="shared" si="38"/>
        <v>0</v>
      </c>
      <c r="AH24" s="177">
        <f t="shared" si="39"/>
        <v>0</v>
      </c>
      <c r="AI24" s="557"/>
      <c r="AJ24" s="209">
        <f>IF(AD24-1&gt;0,AD24-1,0)</f>
        <v>0</v>
      </c>
      <c r="AK24" s="209">
        <f>IF(D24=0,0,IF(C24-S24-Y24-AE24-M24&lt;=0,0,IF(AG24&lt;AE24,AG24,AE24)))</f>
        <v>0</v>
      </c>
      <c r="AL24" s="151">
        <f t="shared" si="40"/>
        <v>0</v>
      </c>
      <c r="AM24" s="151">
        <f t="shared" si="41"/>
        <v>0</v>
      </c>
      <c r="AN24" s="177">
        <f t="shared" si="42"/>
        <v>0</v>
      </c>
    </row>
    <row r="25" spans="2:40" x14ac:dyDescent="0.35">
      <c r="B25" s="391" t="str">
        <f>'4 LAINAT'!C28</f>
        <v>2. vuonna nostettavat lainat</v>
      </c>
      <c r="C25" s="154"/>
      <c r="D25" s="154"/>
      <c r="E25" s="154"/>
      <c r="F25" s="154"/>
      <c r="G25" s="154"/>
      <c r="H25" s="154"/>
      <c r="I25" s="154"/>
      <c r="J25" s="154"/>
      <c r="K25" s="784"/>
      <c r="L25" s="329"/>
      <c r="M25" s="329"/>
      <c r="N25" s="329"/>
      <c r="O25" s="329"/>
      <c r="P25" s="785"/>
      <c r="Q25" s="786"/>
      <c r="R25" s="787"/>
      <c r="S25" s="787"/>
      <c r="T25" s="787"/>
      <c r="U25" s="787"/>
      <c r="V25" s="788"/>
      <c r="W25" s="784"/>
      <c r="X25" s="329"/>
      <c r="Y25" s="329"/>
      <c r="Z25" s="329"/>
      <c r="AA25" s="329"/>
      <c r="AB25" s="785"/>
      <c r="AC25" s="784"/>
      <c r="AD25" s="329"/>
      <c r="AE25" s="329"/>
      <c r="AF25" s="329"/>
      <c r="AG25" s="329"/>
      <c r="AH25" s="785"/>
      <c r="AI25" s="784"/>
      <c r="AJ25" s="329"/>
      <c r="AK25" s="329"/>
      <c r="AL25" s="329"/>
      <c r="AM25" s="329"/>
      <c r="AN25" s="785"/>
    </row>
    <row r="26" spans="2:40" x14ac:dyDescent="0.35">
      <c r="B26" s="388" t="str">
        <f>'4 LAINAT'!C29</f>
        <v>Rahoittaja/rahoitettava kohde</v>
      </c>
      <c r="C26" s="145">
        <f>'4 LAINAT'!D29</f>
        <v>0</v>
      </c>
      <c r="D26" s="389">
        <f>'4 LAINAT'!E29</f>
        <v>0</v>
      </c>
      <c r="E26" s="390">
        <f>'4 LAINAT'!F29</f>
        <v>0</v>
      </c>
      <c r="F26" s="285"/>
      <c r="G26" s="285"/>
      <c r="H26" s="285"/>
      <c r="I26" s="285"/>
      <c r="J26" s="289"/>
      <c r="K26" s="552">
        <f>'4 LAINAT'!G29</f>
        <v>0</v>
      </c>
      <c r="L26" s="209">
        <f t="shared" ref="L26:L32" si="43">IF(I26&gt;0,IF(D26-1&gt;0,D26-1,D26),D26)</f>
        <v>0</v>
      </c>
      <c r="M26" s="209">
        <f>'4 LAINAT'!H29</f>
        <v>0</v>
      </c>
      <c r="N26" s="209">
        <f t="shared" ref="N26:N32" si="44">F26-G26+K26-M26/4</f>
        <v>0</v>
      </c>
      <c r="O26" s="209">
        <f t="shared" ref="O26:O32" si="45">K26-M26</f>
        <v>0</v>
      </c>
      <c r="P26" s="689">
        <f t="shared" ref="P26:P32" si="46">IF($E26*N26&lt;0,0,N26*$E26)</f>
        <v>0</v>
      </c>
      <c r="Q26" s="552">
        <f>'4 LAINAT'!J29</f>
        <v>0</v>
      </c>
      <c r="R26" s="209">
        <f>IF(F26=0,IF(K26=0,L26,$D26-1),$D26-2)</f>
        <v>0</v>
      </c>
      <c r="S26" s="209">
        <f>'4 LAINAT'!K29</f>
        <v>0</v>
      </c>
      <c r="T26" s="209">
        <f t="shared" ref="T26:T28" si="47">O26+Q26-S26/4</f>
        <v>0</v>
      </c>
      <c r="U26" s="209">
        <f t="shared" ref="U26:U28" si="48">O26+Q26-S26</f>
        <v>0</v>
      </c>
      <c r="V26" s="689">
        <f t="shared" ref="V26:V28" si="49">IF($E26*T26&lt;0,0,T26*$E26)</f>
        <v>0</v>
      </c>
      <c r="W26" s="552">
        <f>'4 LAINAT'!M29</f>
        <v>0</v>
      </c>
      <c r="X26" s="209">
        <f t="shared" si="32"/>
        <v>0</v>
      </c>
      <c r="Y26" s="209">
        <f>'4 LAINAT'!N29</f>
        <v>0</v>
      </c>
      <c r="Z26" s="209">
        <f t="shared" si="33"/>
        <v>0</v>
      </c>
      <c r="AA26" s="209">
        <f t="shared" si="34"/>
        <v>0</v>
      </c>
      <c r="AB26" s="689">
        <f t="shared" si="35"/>
        <v>0</v>
      </c>
      <c r="AC26" s="552">
        <f>'4 LAINAT'!P29</f>
        <v>0</v>
      </c>
      <c r="AD26" s="209">
        <f t="shared" si="36"/>
        <v>0</v>
      </c>
      <c r="AE26" s="209">
        <f>'4 LAINAT'!Q29</f>
        <v>0</v>
      </c>
      <c r="AF26" s="209">
        <f t="shared" si="37"/>
        <v>0</v>
      </c>
      <c r="AG26" s="209">
        <f t="shared" si="38"/>
        <v>0</v>
      </c>
      <c r="AH26" s="689">
        <f t="shared" si="39"/>
        <v>0</v>
      </c>
      <c r="AI26" s="552"/>
      <c r="AJ26" s="209">
        <f t="shared" ref="AJ26:AJ28" si="50">IF(AD26-1&gt;0,AD26-1,0)</f>
        <v>0</v>
      </c>
      <c r="AK26" s="209">
        <f>IF(D26=0,0,IF(C26-S26-Y26-AE26-M26&lt;=0,0,IF(AG26&lt;AE26,AG26,AE26)))</f>
        <v>0</v>
      </c>
      <c r="AL26" s="209">
        <f>(AG26+AI26-AK26/4)</f>
        <v>0</v>
      </c>
      <c r="AM26" s="209">
        <f>AG26+AI26-AK26</f>
        <v>0</v>
      </c>
      <c r="AN26" s="689">
        <f>IF($E26*AL26&lt;0,0,AL26*$E26)</f>
        <v>0</v>
      </c>
    </row>
    <row r="27" spans="2:40" x14ac:dyDescent="0.35">
      <c r="B27" s="382">
        <f>'4 LAINAT'!C30</f>
        <v>0</v>
      </c>
      <c r="C27" s="53">
        <f>'4 LAINAT'!D30</f>
        <v>0</v>
      </c>
      <c r="D27" s="383">
        <f>'4 LAINAT'!E30</f>
        <v>0</v>
      </c>
      <c r="E27" s="384">
        <f>'4 LAINAT'!F30</f>
        <v>0</v>
      </c>
      <c r="F27" s="284"/>
      <c r="G27" s="284"/>
      <c r="H27" s="284"/>
      <c r="I27" s="284"/>
      <c r="J27" s="286"/>
      <c r="K27" s="557">
        <f>'4 LAINAT'!G30</f>
        <v>0</v>
      </c>
      <c r="L27" s="151">
        <f t="shared" si="43"/>
        <v>0</v>
      </c>
      <c r="M27" s="151">
        <f>'4 LAINAT'!H30</f>
        <v>0</v>
      </c>
      <c r="N27" s="151">
        <f t="shared" si="44"/>
        <v>0</v>
      </c>
      <c r="O27" s="151">
        <f t="shared" si="45"/>
        <v>0</v>
      </c>
      <c r="P27" s="177">
        <f t="shared" si="46"/>
        <v>0</v>
      </c>
      <c r="Q27" s="552">
        <f>'4 LAINAT'!J30</f>
        <v>0</v>
      </c>
      <c r="R27" s="209">
        <f t="shared" ref="R27:R28" si="51">IF(F27=0,IF(K27=0,L27,$D27-1),$D27-2)</f>
        <v>0</v>
      </c>
      <c r="S27" s="209">
        <f>'4 LAINAT'!K30</f>
        <v>0</v>
      </c>
      <c r="T27" s="209">
        <f t="shared" si="47"/>
        <v>0</v>
      </c>
      <c r="U27" s="209">
        <f t="shared" si="48"/>
        <v>0</v>
      </c>
      <c r="V27" s="689">
        <f t="shared" si="49"/>
        <v>0</v>
      </c>
      <c r="W27" s="552">
        <f>'4 LAINAT'!M30</f>
        <v>0</v>
      </c>
      <c r="X27" s="209">
        <f t="shared" si="32"/>
        <v>0</v>
      </c>
      <c r="Y27" s="209">
        <f>'4 LAINAT'!N30</f>
        <v>0</v>
      </c>
      <c r="Z27" s="209">
        <f t="shared" si="33"/>
        <v>0</v>
      </c>
      <c r="AA27" s="209">
        <f t="shared" si="34"/>
        <v>0</v>
      </c>
      <c r="AB27" s="689">
        <f t="shared" si="35"/>
        <v>0</v>
      </c>
      <c r="AC27" s="552">
        <f>'4 LAINAT'!P30</f>
        <v>0</v>
      </c>
      <c r="AD27" s="209">
        <f t="shared" si="36"/>
        <v>0</v>
      </c>
      <c r="AE27" s="209">
        <f>'4 LAINAT'!Q30</f>
        <v>0</v>
      </c>
      <c r="AF27" s="209">
        <f t="shared" si="37"/>
        <v>0</v>
      </c>
      <c r="AG27" s="209">
        <f t="shared" si="38"/>
        <v>0</v>
      </c>
      <c r="AH27" s="689">
        <f t="shared" si="39"/>
        <v>0</v>
      </c>
      <c r="AI27" s="552"/>
      <c r="AJ27" s="209">
        <f t="shared" si="50"/>
        <v>0</v>
      </c>
      <c r="AK27" s="209">
        <f>IF(D27=0,0,IF(C27-S27-Y27-AE27-M27&lt;=0,0,IF(AG27&lt;AE27,AG27,AE27)))</f>
        <v>0</v>
      </c>
      <c r="AL27" s="209">
        <f t="shared" ref="AL27:AL28" si="52">(AG27+AI27-AK27/4)</f>
        <v>0</v>
      </c>
      <c r="AM27" s="209">
        <f t="shared" ref="AM27:AM28" si="53">AG27+AI27-AK27</f>
        <v>0</v>
      </c>
      <c r="AN27" s="689">
        <f t="shared" ref="AN27:AN28" si="54">IF($E27*AL27&lt;0,0,AL27*$E27)</f>
        <v>0</v>
      </c>
    </row>
    <row r="28" spans="2:40" x14ac:dyDescent="0.35">
      <c r="B28" s="382">
        <f>'4 LAINAT'!C31</f>
        <v>0</v>
      </c>
      <c r="C28" s="53">
        <f>'4 LAINAT'!D31</f>
        <v>0</v>
      </c>
      <c r="D28" s="383">
        <f>'4 LAINAT'!E31</f>
        <v>0</v>
      </c>
      <c r="E28" s="384">
        <f>'4 LAINAT'!F31</f>
        <v>0</v>
      </c>
      <c r="F28" s="284"/>
      <c r="G28" s="284"/>
      <c r="H28" s="284"/>
      <c r="I28" s="284"/>
      <c r="J28" s="286"/>
      <c r="K28" s="557">
        <f>'4 LAINAT'!G31</f>
        <v>0</v>
      </c>
      <c r="L28" s="151">
        <f t="shared" si="43"/>
        <v>0</v>
      </c>
      <c r="M28" s="151">
        <f>'4 LAINAT'!H31</f>
        <v>0</v>
      </c>
      <c r="N28" s="151">
        <f t="shared" si="44"/>
        <v>0</v>
      </c>
      <c r="O28" s="151">
        <f t="shared" si="45"/>
        <v>0</v>
      </c>
      <c r="P28" s="177">
        <f t="shared" si="46"/>
        <v>0</v>
      </c>
      <c r="Q28" s="552">
        <f>'4 LAINAT'!J31</f>
        <v>0</v>
      </c>
      <c r="R28" s="209">
        <f t="shared" si="51"/>
        <v>0</v>
      </c>
      <c r="S28" s="209">
        <f>'4 LAINAT'!K31</f>
        <v>0</v>
      </c>
      <c r="T28" s="209">
        <f t="shared" si="47"/>
        <v>0</v>
      </c>
      <c r="U28" s="209">
        <f t="shared" si="48"/>
        <v>0</v>
      </c>
      <c r="V28" s="689">
        <f t="shared" si="49"/>
        <v>0</v>
      </c>
      <c r="W28" s="557">
        <f>'4 LAINAT'!M31</f>
        <v>0</v>
      </c>
      <c r="X28" s="151">
        <f t="shared" si="32"/>
        <v>0</v>
      </c>
      <c r="Y28" s="151">
        <f>'4 LAINAT'!N31</f>
        <v>0</v>
      </c>
      <c r="Z28" s="151">
        <f t="shared" si="33"/>
        <v>0</v>
      </c>
      <c r="AA28" s="151">
        <f t="shared" si="34"/>
        <v>0</v>
      </c>
      <c r="AB28" s="177">
        <f t="shared" si="35"/>
        <v>0</v>
      </c>
      <c r="AC28" s="557">
        <f>'4 LAINAT'!P31</f>
        <v>0</v>
      </c>
      <c r="AD28" s="151">
        <f t="shared" si="36"/>
        <v>0</v>
      </c>
      <c r="AE28" s="151">
        <f>'4 LAINAT'!Q31</f>
        <v>0</v>
      </c>
      <c r="AF28" s="151">
        <f t="shared" si="37"/>
        <v>0</v>
      </c>
      <c r="AG28" s="151">
        <f t="shared" si="38"/>
        <v>0</v>
      </c>
      <c r="AH28" s="177">
        <f t="shared" si="39"/>
        <v>0</v>
      </c>
      <c r="AI28" s="557"/>
      <c r="AJ28" s="151">
        <f t="shared" si="50"/>
        <v>0</v>
      </c>
      <c r="AK28" s="151">
        <f>IF(D28=0,0,IF(C28-S28-Y28-AE28-M28&lt;=0,0,IF(AG28&lt;AE28,AG28,AE28)))</f>
        <v>0</v>
      </c>
      <c r="AL28" s="151">
        <f t="shared" si="52"/>
        <v>0</v>
      </c>
      <c r="AM28" s="151">
        <f t="shared" si="53"/>
        <v>0</v>
      </c>
      <c r="AN28" s="177">
        <f t="shared" si="54"/>
        <v>0</v>
      </c>
    </row>
    <row r="29" spans="2:40" x14ac:dyDescent="0.35">
      <c r="B29" s="391" t="str">
        <f>'4 LAINAT'!C32</f>
        <v>3. vuonna nostettavat lainat</v>
      </c>
      <c r="C29" s="154"/>
      <c r="D29" s="154"/>
      <c r="E29" s="154"/>
      <c r="F29" s="154"/>
      <c r="G29" s="154"/>
      <c r="H29" s="154"/>
      <c r="I29" s="154"/>
      <c r="J29" s="154"/>
      <c r="K29" s="784"/>
      <c r="L29" s="329"/>
      <c r="M29" s="329"/>
      <c r="N29" s="329"/>
      <c r="O29" s="329"/>
      <c r="P29" s="785"/>
      <c r="Q29" s="786"/>
      <c r="R29" s="787"/>
      <c r="S29" s="787"/>
      <c r="T29" s="787"/>
      <c r="U29" s="787"/>
      <c r="V29" s="788"/>
      <c r="W29" s="784"/>
      <c r="X29" s="329"/>
      <c r="Y29" s="329"/>
      <c r="Z29" s="329"/>
      <c r="AA29" s="329"/>
      <c r="AB29" s="785"/>
      <c r="AC29" s="784"/>
      <c r="AD29" s="329"/>
      <c r="AE29" s="329"/>
      <c r="AF29" s="329"/>
      <c r="AG29" s="329">
        <f t="shared" si="38"/>
        <v>0</v>
      </c>
      <c r="AH29" s="785"/>
      <c r="AI29" s="784"/>
      <c r="AJ29" s="329"/>
      <c r="AK29" s="329"/>
      <c r="AL29" s="329"/>
      <c r="AM29" s="329"/>
      <c r="AN29" s="785"/>
    </row>
    <row r="30" spans="2:40" x14ac:dyDescent="0.35">
      <c r="B30" s="388" t="str">
        <f>'4 LAINAT'!C33</f>
        <v>Rahoittaja/rahoitettava kohde</v>
      </c>
      <c r="C30" s="145">
        <f>'4 LAINAT'!D33</f>
        <v>0</v>
      </c>
      <c r="D30" s="389">
        <f>'4 LAINAT'!E33</f>
        <v>0</v>
      </c>
      <c r="E30" s="390">
        <f>'4 LAINAT'!F33</f>
        <v>0</v>
      </c>
      <c r="F30" s="285"/>
      <c r="G30" s="285"/>
      <c r="H30" s="285"/>
      <c r="I30" s="285"/>
      <c r="J30" s="289"/>
      <c r="K30" s="552">
        <f>'4 LAINAT'!G33</f>
        <v>0</v>
      </c>
      <c r="L30" s="209">
        <f t="shared" si="43"/>
        <v>0</v>
      </c>
      <c r="M30" s="209">
        <f>'4 LAINAT'!H33</f>
        <v>0</v>
      </c>
      <c r="N30" s="209">
        <f t="shared" si="44"/>
        <v>0</v>
      </c>
      <c r="O30" s="209">
        <f t="shared" si="45"/>
        <v>0</v>
      </c>
      <c r="P30" s="689">
        <f t="shared" si="46"/>
        <v>0</v>
      </c>
      <c r="Q30" s="552">
        <f>'4 LAINAT'!J33</f>
        <v>0</v>
      </c>
      <c r="R30" s="209">
        <f>IF(F30=0,IF(K30=0,L30,$D30-1),$D30-2)</f>
        <v>0</v>
      </c>
      <c r="S30" s="209">
        <f>'4 LAINAT'!K33</f>
        <v>0</v>
      </c>
      <c r="T30" s="209">
        <f t="shared" ref="T30:T32" si="55">O30+Q30-S30/4</f>
        <v>0</v>
      </c>
      <c r="U30" s="209">
        <f t="shared" ref="U30:U32" si="56">O30+Q30-S30</f>
        <v>0</v>
      </c>
      <c r="V30" s="689">
        <f t="shared" ref="V30:V32" si="57">IF($E30*T30&lt;0,0,T30*$E30)</f>
        <v>0</v>
      </c>
      <c r="W30" s="552">
        <f>'4 LAINAT'!M33</f>
        <v>0</v>
      </c>
      <c r="X30" s="209">
        <f t="shared" si="32"/>
        <v>0</v>
      </c>
      <c r="Y30" s="209">
        <f>'4 LAINAT'!N33</f>
        <v>0</v>
      </c>
      <c r="Z30" s="209">
        <f t="shared" si="33"/>
        <v>0</v>
      </c>
      <c r="AA30" s="209">
        <f>U30+W30-Y30</f>
        <v>0</v>
      </c>
      <c r="AB30" s="689">
        <f>IF($E30*Z30&lt;0,0,Z30*$E30)</f>
        <v>0</v>
      </c>
      <c r="AC30" s="552">
        <f>'4 LAINAT'!P33</f>
        <v>0</v>
      </c>
      <c r="AD30" s="209">
        <f t="shared" si="36"/>
        <v>0</v>
      </c>
      <c r="AE30" s="209">
        <f>'4 LAINAT'!Q33</f>
        <v>0</v>
      </c>
      <c r="AF30" s="209">
        <f t="shared" si="37"/>
        <v>0</v>
      </c>
      <c r="AG30" s="209">
        <f t="shared" si="38"/>
        <v>0</v>
      </c>
      <c r="AH30" s="689">
        <f t="shared" si="39"/>
        <v>0</v>
      </c>
      <c r="AI30" s="552"/>
      <c r="AJ30" s="209">
        <f>IF(AD30-1&gt;0,AD30-1,0)</f>
        <v>0</v>
      </c>
      <c r="AK30" s="209">
        <f>IF(D30=0,0,IF(C30-S30-Y30-AE30-M30&lt;=0,0,IF(AG30&lt;AE30,AG30,AE30)))</f>
        <v>0</v>
      </c>
      <c r="AL30" s="209">
        <f>(AG30+AI30-AK30/4)</f>
        <v>0</v>
      </c>
      <c r="AM30" s="209">
        <f>AG30+AI30-AK30</f>
        <v>0</v>
      </c>
      <c r="AN30" s="689">
        <f>IF($E30*AL30&lt;0,0,AL30*$E30)</f>
        <v>0</v>
      </c>
    </row>
    <row r="31" spans="2:40" x14ac:dyDescent="0.35">
      <c r="B31" s="382">
        <f>'4 LAINAT'!C34</f>
        <v>0</v>
      </c>
      <c r="C31" s="53">
        <f>'4 LAINAT'!D34</f>
        <v>0</v>
      </c>
      <c r="D31" s="383">
        <f>'4 LAINAT'!E34</f>
        <v>0</v>
      </c>
      <c r="E31" s="384">
        <f>'4 LAINAT'!F34</f>
        <v>0</v>
      </c>
      <c r="F31" s="284"/>
      <c r="G31" s="284"/>
      <c r="H31" s="284"/>
      <c r="I31" s="284"/>
      <c r="J31" s="286"/>
      <c r="K31" s="557">
        <f>'4 LAINAT'!G34</f>
        <v>0</v>
      </c>
      <c r="L31" s="151">
        <f t="shared" si="43"/>
        <v>0</v>
      </c>
      <c r="M31" s="151">
        <f>'4 LAINAT'!H34</f>
        <v>0</v>
      </c>
      <c r="N31" s="151">
        <f t="shared" si="44"/>
        <v>0</v>
      </c>
      <c r="O31" s="151">
        <f t="shared" si="45"/>
        <v>0</v>
      </c>
      <c r="P31" s="177">
        <f t="shared" si="46"/>
        <v>0</v>
      </c>
      <c r="Q31" s="552">
        <f>'4 LAINAT'!J34</f>
        <v>0</v>
      </c>
      <c r="R31" s="209">
        <f t="shared" ref="R31:R36" si="58">IF(F31=0,IF(K31=0,L31,$D31-1),$D31-2)</f>
        <v>0</v>
      </c>
      <c r="S31" s="209">
        <f>'4 LAINAT'!K34</f>
        <v>0</v>
      </c>
      <c r="T31" s="209">
        <f t="shared" si="55"/>
        <v>0</v>
      </c>
      <c r="U31" s="209">
        <f t="shared" si="56"/>
        <v>0</v>
      </c>
      <c r="V31" s="689">
        <f t="shared" si="57"/>
        <v>0</v>
      </c>
      <c r="W31" s="552">
        <f>'4 LAINAT'!M34</f>
        <v>0</v>
      </c>
      <c r="X31" s="209">
        <f t="shared" si="32"/>
        <v>0</v>
      </c>
      <c r="Y31" s="209">
        <f>'4 LAINAT'!N34</f>
        <v>0</v>
      </c>
      <c r="Z31" s="209">
        <f t="shared" si="33"/>
        <v>0</v>
      </c>
      <c r="AA31" s="209">
        <f t="shared" si="34"/>
        <v>0</v>
      </c>
      <c r="AB31" s="689">
        <f t="shared" si="35"/>
        <v>0</v>
      </c>
      <c r="AC31" s="552">
        <f>'4 LAINAT'!P34</f>
        <v>0</v>
      </c>
      <c r="AD31" s="209">
        <f t="shared" si="36"/>
        <v>0</v>
      </c>
      <c r="AE31" s="209">
        <f>'4 LAINAT'!Q34</f>
        <v>0</v>
      </c>
      <c r="AF31" s="209">
        <f t="shared" si="37"/>
        <v>0</v>
      </c>
      <c r="AG31" s="209">
        <f t="shared" si="38"/>
        <v>0</v>
      </c>
      <c r="AH31" s="689">
        <f t="shared" si="39"/>
        <v>0</v>
      </c>
      <c r="AI31" s="552"/>
      <c r="AJ31" s="209">
        <f>IF(AD31-1&gt;0,AD31-1,0)</f>
        <v>0</v>
      </c>
      <c r="AK31" s="209">
        <f>IF(D31=0,0,IF(C31-S31-Y31-AE31-M31&lt;=0,0,IF(AG31&lt;AE31,AG31,AE31)))</f>
        <v>0</v>
      </c>
      <c r="AL31" s="209">
        <f t="shared" ref="AL31:AL32" si="59">(AG31+AI31-AK31/4)</f>
        <v>0</v>
      </c>
      <c r="AM31" s="209">
        <f t="shared" ref="AM31:AM32" si="60">AG31+AI31-AK31</f>
        <v>0</v>
      </c>
      <c r="AN31" s="689">
        <f t="shared" ref="AN31:AN32" si="61">IF($E31*AL31&lt;0,0,AL31*$E31)</f>
        <v>0</v>
      </c>
    </row>
    <row r="32" spans="2:40" x14ac:dyDescent="0.35">
      <c r="B32" s="382">
        <f>'4 LAINAT'!C35</f>
        <v>0</v>
      </c>
      <c r="C32" s="53">
        <f>'4 LAINAT'!D35</f>
        <v>0</v>
      </c>
      <c r="D32" s="383">
        <f>'4 LAINAT'!E35</f>
        <v>0</v>
      </c>
      <c r="E32" s="384">
        <f>'4 LAINAT'!F35</f>
        <v>0</v>
      </c>
      <c r="F32" s="284"/>
      <c r="G32" s="284"/>
      <c r="H32" s="284"/>
      <c r="I32" s="284"/>
      <c r="J32" s="286"/>
      <c r="K32" s="557">
        <f>'4 LAINAT'!G35</f>
        <v>0</v>
      </c>
      <c r="L32" s="151">
        <f t="shared" si="43"/>
        <v>0</v>
      </c>
      <c r="M32" s="151">
        <f>'4 LAINAT'!H35</f>
        <v>0</v>
      </c>
      <c r="N32" s="151">
        <f t="shared" si="44"/>
        <v>0</v>
      </c>
      <c r="O32" s="151">
        <f t="shared" si="45"/>
        <v>0</v>
      </c>
      <c r="P32" s="177">
        <f t="shared" si="46"/>
        <v>0</v>
      </c>
      <c r="Q32" s="552">
        <f>'4 LAINAT'!J35</f>
        <v>0</v>
      </c>
      <c r="R32" s="209">
        <f t="shared" si="58"/>
        <v>0</v>
      </c>
      <c r="S32" s="209">
        <f>'4 LAINAT'!K35</f>
        <v>0</v>
      </c>
      <c r="T32" s="209">
        <f t="shared" si="55"/>
        <v>0</v>
      </c>
      <c r="U32" s="209">
        <f t="shared" si="56"/>
        <v>0</v>
      </c>
      <c r="V32" s="689">
        <f t="shared" si="57"/>
        <v>0</v>
      </c>
      <c r="W32" s="557">
        <f>'4 LAINAT'!M35</f>
        <v>0</v>
      </c>
      <c r="X32" s="151">
        <f t="shared" si="32"/>
        <v>0</v>
      </c>
      <c r="Y32" s="151">
        <f>'4 LAINAT'!N35</f>
        <v>0</v>
      </c>
      <c r="Z32" s="151">
        <f t="shared" si="33"/>
        <v>0</v>
      </c>
      <c r="AA32" s="151">
        <f t="shared" si="34"/>
        <v>0</v>
      </c>
      <c r="AB32" s="177">
        <f t="shared" si="35"/>
        <v>0</v>
      </c>
      <c r="AC32" s="557">
        <f>'4 LAINAT'!P35</f>
        <v>0</v>
      </c>
      <c r="AD32" s="151">
        <f t="shared" si="36"/>
        <v>0</v>
      </c>
      <c r="AE32" s="151">
        <f>'4 LAINAT'!Q35</f>
        <v>0</v>
      </c>
      <c r="AF32" s="151">
        <f t="shared" si="37"/>
        <v>0</v>
      </c>
      <c r="AG32" s="151">
        <f t="shared" si="38"/>
        <v>0</v>
      </c>
      <c r="AH32" s="177">
        <f t="shared" si="39"/>
        <v>0</v>
      </c>
      <c r="AI32" s="557"/>
      <c r="AJ32" s="209">
        <f>IF(AD32-1&gt;0,AD32-1,0)</f>
        <v>0</v>
      </c>
      <c r="AK32" s="151">
        <f>IF(D32=0,0,IF(C32-S32-Y32-AE32-M32&lt;=0,0,IF(AG32&lt;AE32,AG32,AE32)))</f>
        <v>0</v>
      </c>
      <c r="AL32" s="151">
        <f t="shared" si="59"/>
        <v>0</v>
      </c>
      <c r="AM32" s="151">
        <f t="shared" si="60"/>
        <v>0</v>
      </c>
      <c r="AN32" s="177">
        <f t="shared" si="61"/>
        <v>0</v>
      </c>
    </row>
    <row r="33" spans="2:40" x14ac:dyDescent="0.35">
      <c r="B33" s="391" t="str">
        <f>'4 LAINAT'!C36</f>
        <v>4. vuonna nostettavat lainat</v>
      </c>
      <c r="C33" s="154"/>
      <c r="D33" s="154"/>
      <c r="E33" s="154"/>
      <c r="F33" s="154"/>
      <c r="G33" s="154"/>
      <c r="H33" s="154"/>
      <c r="I33" s="154"/>
      <c r="J33" s="154"/>
      <c r="K33" s="786"/>
      <c r="L33" s="787"/>
      <c r="M33" s="787"/>
      <c r="N33" s="787"/>
      <c r="O33" s="787"/>
      <c r="P33" s="788"/>
      <c r="Q33" s="786"/>
      <c r="R33" s="787"/>
      <c r="S33" s="787"/>
      <c r="T33" s="787"/>
      <c r="U33" s="787"/>
      <c r="V33" s="788"/>
      <c r="W33" s="784"/>
      <c r="X33" s="329"/>
      <c r="Y33" s="329"/>
      <c r="Z33" s="329"/>
      <c r="AA33" s="329"/>
      <c r="AB33" s="785"/>
      <c r="AC33" s="784"/>
      <c r="AD33" s="329"/>
      <c r="AE33" s="329"/>
      <c r="AF33" s="329"/>
      <c r="AG33" s="329"/>
      <c r="AH33" s="785"/>
      <c r="AI33" s="784"/>
      <c r="AJ33" s="329"/>
      <c r="AK33" s="329"/>
      <c r="AL33" s="329"/>
      <c r="AM33" s="329"/>
      <c r="AN33" s="785"/>
    </row>
    <row r="34" spans="2:40" x14ac:dyDescent="0.35">
      <c r="B34" s="388" t="str">
        <f>'4 LAINAT'!C37</f>
        <v>Rahoittaja/rahoitettava kohde</v>
      </c>
      <c r="C34" s="145">
        <f>'4 LAINAT'!D37</f>
        <v>0</v>
      </c>
      <c r="D34" s="389">
        <f>'4 LAINAT'!E37</f>
        <v>0</v>
      </c>
      <c r="E34" s="390">
        <f>'4 LAINAT'!F37</f>
        <v>0</v>
      </c>
      <c r="F34" s="285"/>
      <c r="G34" s="285"/>
      <c r="H34" s="285"/>
      <c r="I34" s="285"/>
      <c r="J34" s="289"/>
      <c r="K34" s="552">
        <f>'4 LAINAT'!G37</f>
        <v>0</v>
      </c>
      <c r="L34" s="209">
        <f t="shared" ref="L34:L36" si="62">IF(I34&gt;0,IF(D34-1&gt;0,D34-1,D34),D34)</f>
        <v>0</v>
      </c>
      <c r="M34" s="209">
        <f>'4 LAINAT'!H37</f>
        <v>0</v>
      </c>
      <c r="N34" s="209">
        <f>F34-G34+K34-M34/4</f>
        <v>0</v>
      </c>
      <c r="O34" s="209">
        <f>K34-M34</f>
        <v>0</v>
      </c>
      <c r="P34" s="689">
        <f>IF($E34*N34&lt;0,0,N34*$E34)</f>
        <v>0</v>
      </c>
      <c r="Q34" s="552">
        <f>'4 LAINAT'!J37</f>
        <v>0</v>
      </c>
      <c r="R34" s="209">
        <f t="shared" si="58"/>
        <v>0</v>
      </c>
      <c r="S34" s="209">
        <f>'4 LAINAT'!K37</f>
        <v>0</v>
      </c>
      <c r="T34" s="209">
        <f t="shared" ref="T34:T36" si="63">O34+Q34-S34/4</f>
        <v>0</v>
      </c>
      <c r="U34" s="209">
        <f t="shared" ref="U34:U36" si="64">O34+Q34-S34</f>
        <v>0</v>
      </c>
      <c r="V34" s="689">
        <f>IF($E34*T34&lt;0,0,T34*$E34)</f>
        <v>0</v>
      </c>
      <c r="W34" s="552">
        <f>'4 LAINAT'!M37</f>
        <v>0</v>
      </c>
      <c r="X34" s="209">
        <f t="shared" si="32"/>
        <v>0</v>
      </c>
      <c r="Y34" s="209">
        <f>'4 LAINAT'!N37</f>
        <v>0</v>
      </c>
      <c r="Z34" s="209">
        <f t="shared" si="33"/>
        <v>0</v>
      </c>
      <c r="AA34" s="209">
        <f t="shared" si="34"/>
        <v>0</v>
      </c>
      <c r="AB34" s="689">
        <f t="shared" si="35"/>
        <v>0</v>
      </c>
      <c r="AC34" s="552">
        <f>'4 LAINAT'!P37</f>
        <v>0</v>
      </c>
      <c r="AD34" s="209">
        <f t="shared" si="36"/>
        <v>0</v>
      </c>
      <c r="AE34" s="209">
        <f>'4 LAINAT'!Q37</f>
        <v>0</v>
      </c>
      <c r="AF34" s="209">
        <f t="shared" si="37"/>
        <v>0</v>
      </c>
      <c r="AG34" s="209">
        <f t="shared" si="38"/>
        <v>0</v>
      </c>
      <c r="AH34" s="689">
        <f t="shared" si="39"/>
        <v>0</v>
      </c>
      <c r="AI34" s="552"/>
      <c r="AJ34" s="209">
        <f>IF(AD34-1&gt;0,AD34-1,0)</f>
        <v>0</v>
      </c>
      <c r="AK34" s="209">
        <f>IF(D34=0,0,IF(C34-S34-Y34-AE34-M34&lt;=0,0,IF(AG34&lt;AE34,AG34,AE34)))</f>
        <v>0</v>
      </c>
      <c r="AL34" s="209">
        <f>(AG34+AI34-AK34/4)</f>
        <v>0</v>
      </c>
      <c r="AM34" s="209">
        <f>AG34+AI34-AK34</f>
        <v>0</v>
      </c>
      <c r="AN34" s="689">
        <f>IF($E34*AL34&lt;0,0,AL34*$E34)</f>
        <v>0</v>
      </c>
    </row>
    <row r="35" spans="2:40" x14ac:dyDescent="0.35">
      <c r="B35" s="382">
        <f>'4 LAINAT'!C38</f>
        <v>0</v>
      </c>
      <c r="C35" s="53">
        <f>'4 LAINAT'!D38</f>
        <v>0</v>
      </c>
      <c r="D35" s="383">
        <f>'4 LAINAT'!E38</f>
        <v>0</v>
      </c>
      <c r="E35" s="384">
        <f>'4 LAINAT'!F38</f>
        <v>0</v>
      </c>
      <c r="F35" s="284"/>
      <c r="G35" s="284"/>
      <c r="H35" s="284"/>
      <c r="I35" s="284"/>
      <c r="J35" s="286"/>
      <c r="K35" s="552">
        <f>'4 LAINAT'!G38</f>
        <v>0</v>
      </c>
      <c r="L35" s="151">
        <f t="shared" si="62"/>
        <v>0</v>
      </c>
      <c r="M35" s="151">
        <f>'4 LAINAT'!H38</f>
        <v>0</v>
      </c>
      <c r="N35" s="151">
        <f t="shared" ref="N35:N36" si="65">F35-G35+K35-M35/4</f>
        <v>0</v>
      </c>
      <c r="O35" s="151">
        <f>K35-M35</f>
        <v>0</v>
      </c>
      <c r="P35" s="177">
        <f t="shared" ref="P35:P36" si="66">IF($E35*N35&lt;0,0,N35*$E35)</f>
        <v>0</v>
      </c>
      <c r="Q35" s="557">
        <f>'4 LAINAT'!J38</f>
        <v>0</v>
      </c>
      <c r="R35" s="151">
        <f t="shared" si="58"/>
        <v>0</v>
      </c>
      <c r="S35" s="209">
        <f>'4 LAINAT'!K38</f>
        <v>0</v>
      </c>
      <c r="T35" s="151">
        <f t="shared" si="63"/>
        <v>0</v>
      </c>
      <c r="U35" s="151">
        <f t="shared" si="64"/>
        <v>0</v>
      </c>
      <c r="V35" s="177">
        <f t="shared" ref="V35:V36" si="67">IF($E35*T35&lt;0,0,T35*$E35)</f>
        <v>0</v>
      </c>
      <c r="W35" s="552">
        <f>'4 LAINAT'!M38</f>
        <v>0</v>
      </c>
      <c r="X35" s="209">
        <f t="shared" si="32"/>
        <v>0</v>
      </c>
      <c r="Y35" s="209">
        <f>'4 LAINAT'!N38</f>
        <v>0</v>
      </c>
      <c r="Z35" s="209">
        <f t="shared" si="33"/>
        <v>0</v>
      </c>
      <c r="AA35" s="209">
        <f t="shared" si="34"/>
        <v>0</v>
      </c>
      <c r="AB35" s="689">
        <f t="shared" si="35"/>
        <v>0</v>
      </c>
      <c r="AC35" s="552">
        <f>'4 LAINAT'!P38</f>
        <v>0</v>
      </c>
      <c r="AD35" s="209">
        <f t="shared" si="36"/>
        <v>0</v>
      </c>
      <c r="AE35" s="209">
        <f>'4 LAINAT'!Q38</f>
        <v>0</v>
      </c>
      <c r="AF35" s="209">
        <f t="shared" si="37"/>
        <v>0</v>
      </c>
      <c r="AG35" s="209">
        <f t="shared" si="38"/>
        <v>0</v>
      </c>
      <c r="AH35" s="689">
        <f t="shared" si="39"/>
        <v>0</v>
      </c>
      <c r="AI35" s="552"/>
      <c r="AJ35" s="209">
        <f>IF(AD35-1&gt;0,AD35-1,0)</f>
        <v>0</v>
      </c>
      <c r="AK35" s="209">
        <f>IF(D35=0,0,IF(C35-S35-Y35-AE35-M35&lt;=0,0,IF(AG35&lt;AE35,AG35,AE35)))</f>
        <v>0</v>
      </c>
      <c r="AL35" s="209">
        <f t="shared" ref="AL35:AL36" si="68">(AG35+AI35-AK35/4)</f>
        <v>0</v>
      </c>
      <c r="AM35" s="209">
        <f t="shared" ref="AM35:AM36" si="69">AG35+AI35-AK35</f>
        <v>0</v>
      </c>
      <c r="AN35" s="689">
        <f t="shared" ref="AN35:AN36" si="70">IF($E35*AL35&lt;0,0,AL35*$E35)</f>
        <v>0</v>
      </c>
    </row>
    <row r="36" spans="2:40" ht="15" thickBot="1" x14ac:dyDescent="0.4">
      <c r="B36" s="385">
        <f>'4 LAINAT'!C39</f>
        <v>0</v>
      </c>
      <c r="C36" s="103">
        <f>'4 LAINAT'!D39</f>
        <v>0</v>
      </c>
      <c r="D36" s="386">
        <f>'4 LAINAT'!E39</f>
        <v>0</v>
      </c>
      <c r="E36" s="387">
        <f>'4 LAINAT'!F39</f>
        <v>0</v>
      </c>
      <c r="F36" s="287"/>
      <c r="G36" s="287"/>
      <c r="H36" s="287"/>
      <c r="I36" s="287"/>
      <c r="J36" s="288"/>
      <c r="K36" s="559">
        <f>'4 LAINAT'!G39</f>
        <v>0</v>
      </c>
      <c r="L36" s="153">
        <f t="shared" si="62"/>
        <v>0</v>
      </c>
      <c r="M36" s="153">
        <f>'4 LAINAT'!H39</f>
        <v>0</v>
      </c>
      <c r="N36" s="153">
        <f t="shared" si="65"/>
        <v>0</v>
      </c>
      <c r="O36" s="153">
        <f>K36-M36</f>
        <v>0</v>
      </c>
      <c r="P36" s="642">
        <f t="shared" si="66"/>
        <v>0</v>
      </c>
      <c r="Q36" s="559">
        <f>'4 LAINAT'!J39</f>
        <v>0</v>
      </c>
      <c r="R36" s="153">
        <f t="shared" si="58"/>
        <v>0</v>
      </c>
      <c r="S36" s="153">
        <f>'4 LAINAT'!K39</f>
        <v>0</v>
      </c>
      <c r="T36" s="153">
        <f t="shared" si="63"/>
        <v>0</v>
      </c>
      <c r="U36" s="153">
        <f t="shared" si="64"/>
        <v>0</v>
      </c>
      <c r="V36" s="642">
        <f t="shared" si="67"/>
        <v>0</v>
      </c>
      <c r="W36" s="552">
        <f>'4 LAINAT'!M39</f>
        <v>0</v>
      </c>
      <c r="X36" s="209">
        <f t="shared" si="32"/>
        <v>0</v>
      </c>
      <c r="Y36" s="209">
        <f>'4 LAINAT'!N39</f>
        <v>0</v>
      </c>
      <c r="Z36" s="209">
        <f t="shared" si="33"/>
        <v>0</v>
      </c>
      <c r="AA36" s="209">
        <f t="shared" si="34"/>
        <v>0</v>
      </c>
      <c r="AB36" s="689">
        <f t="shared" si="35"/>
        <v>0</v>
      </c>
      <c r="AC36" s="552">
        <f>'4 LAINAT'!P39</f>
        <v>0</v>
      </c>
      <c r="AD36" s="209">
        <f t="shared" si="36"/>
        <v>0</v>
      </c>
      <c r="AE36" s="209">
        <f>'4 LAINAT'!Q39</f>
        <v>0</v>
      </c>
      <c r="AF36" s="209">
        <f t="shared" si="37"/>
        <v>0</v>
      </c>
      <c r="AG36" s="209">
        <f t="shared" si="38"/>
        <v>0</v>
      </c>
      <c r="AH36" s="689">
        <f t="shared" si="39"/>
        <v>0</v>
      </c>
      <c r="AI36" s="552"/>
      <c r="AJ36" s="209">
        <f>IF(AD36-1&gt;0,AD36-1,0)</f>
        <v>0</v>
      </c>
      <c r="AK36" s="209">
        <f>IF(D36=0,0,IF(C36-S36-Y36-AE36-M36&lt;=0,0,IF(AG36&lt;AE36,AG36,AE36)))</f>
        <v>0</v>
      </c>
      <c r="AL36" s="209">
        <f t="shared" si="68"/>
        <v>0</v>
      </c>
      <c r="AM36" s="209">
        <f t="shared" si="69"/>
        <v>0</v>
      </c>
      <c r="AN36" s="689">
        <f t="shared" si="70"/>
        <v>0</v>
      </c>
    </row>
    <row r="37" spans="2:40" ht="15" thickTop="1" x14ac:dyDescent="0.35">
      <c r="B37" s="392" t="str">
        <f>'4 LAINAT'!C40</f>
        <v>Uudet lainat yhteensä</v>
      </c>
      <c r="C37" s="393">
        <f>SUM(C20:C36)</f>
        <v>0</v>
      </c>
      <c r="D37" s="393"/>
      <c r="E37" s="393"/>
      <c r="F37" s="393"/>
      <c r="G37" s="393"/>
      <c r="H37" s="393"/>
      <c r="I37" s="393"/>
      <c r="J37" s="394"/>
      <c r="K37" s="789">
        <f>SUM(K22:K36)</f>
        <v>0</v>
      </c>
      <c r="L37" s="761">
        <f t="shared" ref="L37:AB37" si="71">SUM(L22:L36)</f>
        <v>0</v>
      </c>
      <c r="M37" s="761">
        <f t="shared" si="71"/>
        <v>0</v>
      </c>
      <c r="N37" s="761">
        <f t="shared" si="71"/>
        <v>0</v>
      </c>
      <c r="O37" s="761">
        <f t="shared" si="71"/>
        <v>0</v>
      </c>
      <c r="P37" s="790">
        <f t="shared" si="71"/>
        <v>0</v>
      </c>
      <c r="Q37" s="775">
        <f t="shared" si="71"/>
        <v>0</v>
      </c>
      <c r="R37" s="773">
        <f t="shared" si="71"/>
        <v>0</v>
      </c>
      <c r="S37" s="773">
        <f t="shared" si="71"/>
        <v>0</v>
      </c>
      <c r="T37" s="773">
        <f t="shared" si="71"/>
        <v>0</v>
      </c>
      <c r="U37" s="773">
        <f t="shared" si="71"/>
        <v>0</v>
      </c>
      <c r="V37" s="776">
        <f t="shared" si="71"/>
        <v>0</v>
      </c>
      <c r="W37" s="775">
        <f>SUM(W22:W36)</f>
        <v>0</v>
      </c>
      <c r="X37" s="773">
        <f t="shared" si="71"/>
        <v>0</v>
      </c>
      <c r="Y37" s="773">
        <f t="shared" si="71"/>
        <v>0</v>
      </c>
      <c r="Z37" s="773">
        <f t="shared" si="71"/>
        <v>0</v>
      </c>
      <c r="AA37" s="773">
        <f t="shared" si="71"/>
        <v>0</v>
      </c>
      <c r="AB37" s="776">
        <f t="shared" si="71"/>
        <v>0</v>
      </c>
      <c r="AC37" s="775">
        <f>SUM(AC22:AC36)</f>
        <v>0</v>
      </c>
      <c r="AD37" s="773">
        <f t="shared" ref="AD37" si="72">SUM(AD22:AD36)</f>
        <v>0</v>
      </c>
      <c r="AE37" s="773">
        <f t="shared" ref="AE37" si="73">SUM(AE22:AE36)</f>
        <v>0</v>
      </c>
      <c r="AF37" s="773">
        <f t="shared" ref="AF37" si="74">SUM(AF22:AF36)</f>
        <v>0</v>
      </c>
      <c r="AG37" s="773">
        <f t="shared" ref="AG37" si="75">SUM(AG22:AG36)</f>
        <v>0</v>
      </c>
      <c r="AH37" s="776">
        <f t="shared" ref="AH37" si="76">SUM(AH22:AH36)</f>
        <v>0</v>
      </c>
      <c r="AI37" s="775">
        <f>SUM(AI22:AI36)</f>
        <v>0</v>
      </c>
      <c r="AJ37" s="773">
        <f>SUM(AJ22:AJ36)</f>
        <v>0</v>
      </c>
      <c r="AK37" s="773">
        <f t="shared" ref="AK37:AN37" si="77">SUM(AK22:AK36)</f>
        <v>0</v>
      </c>
      <c r="AL37" s="773">
        <f t="shared" si="77"/>
        <v>0</v>
      </c>
      <c r="AM37" s="773">
        <f t="shared" si="77"/>
        <v>0</v>
      </c>
      <c r="AN37" s="776">
        <f t="shared" si="77"/>
        <v>0</v>
      </c>
    </row>
    <row r="38" spans="2:40" ht="39" x14ac:dyDescent="0.35">
      <c r="B38" s="423" t="s">
        <v>608</v>
      </c>
      <c r="C38" s="424" t="str">
        <f>C19</f>
        <v>Lainamäärä viimeisessä tilinpäätöksessä</v>
      </c>
      <c r="D38" s="424" t="str">
        <f t="shared" ref="D38" si="78">D19</f>
        <v>Laina-aikaa jäljellä (vuotta)</v>
      </c>
      <c r="E38" s="424" t="str">
        <f>E19</f>
        <v>Korko-%</v>
      </c>
      <c r="F38" s="424" t="s">
        <v>602</v>
      </c>
      <c r="G38" s="424" t="s">
        <v>568</v>
      </c>
      <c r="H38" s="424" t="s">
        <v>747</v>
      </c>
      <c r="I38" s="424" t="s">
        <v>748</v>
      </c>
      <c r="J38" s="425" t="s">
        <v>163</v>
      </c>
      <c r="K38" s="426" t="s">
        <v>602</v>
      </c>
      <c r="L38" s="424" t="s">
        <v>749</v>
      </c>
      <c r="M38" s="424" t="s">
        <v>568</v>
      </c>
      <c r="N38" s="424" t="s">
        <v>747</v>
      </c>
      <c r="O38" s="424" t="s">
        <v>748</v>
      </c>
      <c r="P38" s="427" t="s">
        <v>163</v>
      </c>
      <c r="Q38" s="426" t="s">
        <v>602</v>
      </c>
      <c r="R38" s="424" t="s">
        <v>749</v>
      </c>
      <c r="S38" s="424" t="s">
        <v>568</v>
      </c>
      <c r="T38" s="424" t="s">
        <v>747</v>
      </c>
      <c r="U38" s="424" t="s">
        <v>748</v>
      </c>
      <c r="V38" s="427" t="s">
        <v>163</v>
      </c>
      <c r="W38" s="426" t="s">
        <v>602</v>
      </c>
      <c r="X38" s="424" t="s">
        <v>749</v>
      </c>
      <c r="Y38" s="424" t="s">
        <v>568</v>
      </c>
      <c r="Z38" s="424" t="s">
        <v>747</v>
      </c>
      <c r="AA38" s="424" t="s">
        <v>748</v>
      </c>
      <c r="AB38" s="427" t="s">
        <v>163</v>
      </c>
      <c r="AC38" s="426" t="s">
        <v>602</v>
      </c>
      <c r="AD38" s="424" t="s">
        <v>749</v>
      </c>
      <c r="AE38" s="424" t="s">
        <v>568</v>
      </c>
      <c r="AF38" s="424" t="s">
        <v>747</v>
      </c>
      <c r="AG38" s="424" t="s">
        <v>748</v>
      </c>
      <c r="AH38" s="427" t="s">
        <v>163</v>
      </c>
      <c r="AI38" s="426" t="s">
        <v>602</v>
      </c>
      <c r="AJ38" s="424" t="s">
        <v>749</v>
      </c>
      <c r="AK38" s="424" t="s">
        <v>568</v>
      </c>
      <c r="AL38" s="424" t="s">
        <v>747</v>
      </c>
      <c r="AM38" s="424" t="s">
        <v>748</v>
      </c>
      <c r="AN38" s="427" t="s">
        <v>163</v>
      </c>
    </row>
    <row r="39" spans="2:40" x14ac:dyDescent="0.35">
      <c r="B39" s="96" t="s">
        <v>750</v>
      </c>
      <c r="C39" s="145">
        <f>'4 LAINAT'!D20</f>
        <v>0</v>
      </c>
      <c r="D39" s="389">
        <f>'4 LAINAT'!E20</f>
        <v>0</v>
      </c>
      <c r="E39" s="390">
        <f>'4 LAINAT'!F20</f>
        <v>0</v>
      </c>
      <c r="F39" s="151"/>
      <c r="G39" s="151"/>
      <c r="H39" s="151"/>
      <c r="I39" s="151">
        <f>C39</f>
        <v>0</v>
      </c>
      <c r="J39" s="641"/>
      <c r="K39" s="557"/>
      <c r="L39" s="151"/>
      <c r="M39" s="151">
        <f>'4 LAINAT'!G19</f>
        <v>0</v>
      </c>
      <c r="N39" s="151"/>
      <c r="O39" s="151">
        <f>I39</f>
        <v>0</v>
      </c>
      <c r="P39" s="177">
        <f>IF($D39&lt;Q40,0,IF($E39=0,0,-CUMIPMT($E39/12,$D39,$C39+M39,Q40,Q41,0)))</f>
        <v>0</v>
      </c>
      <c r="Q39" s="557"/>
      <c r="R39" s="151"/>
      <c r="S39" s="151">
        <f>IF($D39&lt;Q40,0,IF($E39=0,0,-CUMPRINC($E39/12,$D39,$C39,Q40,Q41,0)))</f>
        <v>0</v>
      </c>
      <c r="T39" s="151"/>
      <c r="U39" s="151">
        <f>IF(S39=0,0,O39-S39)</f>
        <v>0</v>
      </c>
      <c r="V39" s="177">
        <f>IF($D39&lt;Q40,0,IF($E39=0,0,-CUMIPMT($E39/12,$D39,$C39,Q40,Q41,0)))</f>
        <v>0</v>
      </c>
      <c r="W39" s="557"/>
      <c r="X39" s="151"/>
      <c r="Y39" s="151">
        <f>IF($D39&lt;W40,0,IF($E39=0,0,-CUMPRINC($E39/12,$D39,$C39,W40,W41,0)))</f>
        <v>0</v>
      </c>
      <c r="Z39" s="151"/>
      <c r="AA39" s="151">
        <f>IF(Y39=0,0,U39-Y39)</f>
        <v>0</v>
      </c>
      <c r="AB39" s="177">
        <f>IF($D39&lt;W40,0,IF($E39=0,0,-CUMIPMT($E39/12,$D39,$C39,W40,W41,0)))</f>
        <v>0</v>
      </c>
      <c r="AC39" s="557"/>
      <c r="AD39" s="151"/>
      <c r="AE39" s="151">
        <f>IF($D39&lt;AC40,0,IF($E39=0,0,-CUMPRINC($E39/12,$D39,$C39,AC40,AC41,0)))</f>
        <v>0</v>
      </c>
      <c r="AF39" s="151"/>
      <c r="AG39" s="151">
        <f>IF(AE39=0,0,AA39-AE39)</f>
        <v>0</v>
      </c>
      <c r="AH39" s="177">
        <f>IF($D39&lt;AC40,0,IF($E39=0,0,-CUMIPMT($E39/12,$D39,$C39,AC40,AC41,0)))</f>
        <v>0</v>
      </c>
      <c r="AI39" s="557"/>
      <c r="AJ39" s="151"/>
      <c r="AK39" s="151">
        <f>IF($D39&lt;AI40,0,IF($E39=0,0,-CUMPRINC($E39/12,$D39,$C39,AI40,AI41,0)))</f>
        <v>0</v>
      </c>
      <c r="AL39" s="151"/>
      <c r="AM39" s="151">
        <f>IF(AK39=0,0,AG39-AK39)</f>
        <v>0</v>
      </c>
      <c r="AN39" s="177">
        <f>IF($D39&lt;AI40,0,IF($E39=0,0,-CUMIPMT($E39/12,$D39,$C39,AI40,AI41,0)))</f>
        <v>0</v>
      </c>
    </row>
    <row r="40" spans="2:40" x14ac:dyDescent="0.35">
      <c r="B40" s="53" t="s">
        <v>751</v>
      </c>
      <c r="C40" s="145"/>
      <c r="D40" s="389"/>
      <c r="E40" s="390"/>
      <c r="F40" s="151"/>
      <c r="G40" s="151"/>
      <c r="H40" s="151"/>
      <c r="I40" s="151"/>
      <c r="J40" s="641"/>
      <c r="K40" s="557"/>
      <c r="L40" s="151"/>
      <c r="M40" s="151"/>
      <c r="N40" s="151"/>
      <c r="O40" s="151"/>
      <c r="P40" s="177"/>
      <c r="Q40" s="557">
        <v>1</v>
      </c>
      <c r="R40" s="151"/>
      <c r="S40" s="151"/>
      <c r="T40" s="151"/>
      <c r="U40" s="151"/>
      <c r="V40" s="177"/>
      <c r="W40" s="557">
        <v>13</v>
      </c>
      <c r="X40" s="151"/>
      <c r="Y40" s="151"/>
      <c r="Z40" s="151"/>
      <c r="AA40" s="151"/>
      <c r="AB40" s="177"/>
      <c r="AC40" s="557">
        <v>25</v>
      </c>
      <c r="AD40" s="151"/>
      <c r="AE40" s="151"/>
      <c r="AF40" s="151"/>
      <c r="AG40" s="151"/>
      <c r="AH40" s="177"/>
      <c r="AI40" s="557">
        <v>37</v>
      </c>
      <c r="AJ40" s="151"/>
      <c r="AK40" s="151"/>
      <c r="AL40" s="151"/>
      <c r="AM40" s="151"/>
      <c r="AN40" s="177"/>
    </row>
    <row r="41" spans="2:40" ht="15" thickBot="1" x14ac:dyDescent="0.4">
      <c r="B41" s="103" t="s">
        <v>752</v>
      </c>
      <c r="C41" s="103"/>
      <c r="D41" s="386"/>
      <c r="E41" s="387"/>
      <c r="F41" s="153"/>
      <c r="G41" s="153"/>
      <c r="H41" s="153"/>
      <c r="I41" s="153"/>
      <c r="J41" s="643"/>
      <c r="K41" s="559"/>
      <c r="L41" s="153"/>
      <c r="M41" s="153"/>
      <c r="N41" s="153"/>
      <c r="O41" s="153"/>
      <c r="P41" s="642"/>
      <c r="Q41" s="559">
        <v>12</v>
      </c>
      <c r="R41" s="153"/>
      <c r="S41" s="153"/>
      <c r="T41" s="153"/>
      <c r="U41" s="153"/>
      <c r="V41" s="642"/>
      <c r="W41" s="559">
        <v>24</v>
      </c>
      <c r="X41" s="153"/>
      <c r="Y41" s="153"/>
      <c r="Z41" s="153"/>
      <c r="AA41" s="153"/>
      <c r="AB41" s="642"/>
      <c r="AC41" s="559">
        <v>36</v>
      </c>
      <c r="AD41" s="153"/>
      <c r="AE41" s="153"/>
      <c r="AF41" s="153"/>
      <c r="AG41" s="153"/>
      <c r="AH41" s="642"/>
      <c r="AI41" s="559">
        <v>48</v>
      </c>
      <c r="AJ41" s="153"/>
      <c r="AK41" s="153"/>
      <c r="AL41" s="153"/>
      <c r="AM41" s="153"/>
      <c r="AN41" s="642"/>
    </row>
    <row r="42" spans="2:40" ht="15" thickTop="1" x14ac:dyDescent="0.35">
      <c r="B42" s="101" t="s">
        <v>753</v>
      </c>
      <c r="C42" s="101"/>
      <c r="D42" s="402"/>
      <c r="E42" s="403"/>
      <c r="F42" s="761"/>
      <c r="G42" s="761"/>
      <c r="H42" s="761"/>
      <c r="I42" s="761">
        <f>SUM(I39:I41)</f>
        <v>0</v>
      </c>
      <c r="J42" s="765"/>
      <c r="K42" s="760"/>
      <c r="L42" s="761"/>
      <c r="M42" s="761">
        <f>SUM(M39:M41)</f>
        <v>0</v>
      </c>
      <c r="N42" s="761"/>
      <c r="O42" s="761">
        <f t="shared" ref="O42:P42" si="79">SUM(O39:O41)</f>
        <v>0</v>
      </c>
      <c r="P42" s="762">
        <f t="shared" si="79"/>
        <v>0</v>
      </c>
      <c r="Q42" s="760"/>
      <c r="R42" s="761"/>
      <c r="S42" s="761">
        <f>SUM(S39:S41)</f>
        <v>0</v>
      </c>
      <c r="T42" s="761"/>
      <c r="U42" s="761">
        <f t="shared" ref="U42" si="80">SUM(U39:U41)</f>
        <v>0</v>
      </c>
      <c r="V42" s="762">
        <f t="shared" ref="V42" si="81">SUM(V39:V41)</f>
        <v>0</v>
      </c>
      <c r="W42" s="760"/>
      <c r="X42" s="761"/>
      <c r="Y42" s="761">
        <f>SUM(Y39:Y41)</f>
        <v>0</v>
      </c>
      <c r="Z42" s="761"/>
      <c r="AA42" s="761">
        <f t="shared" ref="AA42" si="82">SUM(AA39:AA41)</f>
        <v>0</v>
      </c>
      <c r="AB42" s="762">
        <f t="shared" ref="AB42" si="83">SUM(AB39:AB41)</f>
        <v>0</v>
      </c>
      <c r="AC42" s="760"/>
      <c r="AD42" s="761"/>
      <c r="AE42" s="761">
        <f>SUM(AE39:AE41)</f>
        <v>0</v>
      </c>
      <c r="AF42" s="761"/>
      <c r="AG42" s="761">
        <f t="shared" ref="AG42" si="84">SUM(AG39:AG41)</f>
        <v>0</v>
      </c>
      <c r="AH42" s="762">
        <f t="shared" ref="AH42" si="85">SUM(AH39:AH41)</f>
        <v>0</v>
      </c>
      <c r="AI42" s="760"/>
      <c r="AJ42" s="761"/>
      <c r="AK42" s="761">
        <f>SUM(AK39:AK41)</f>
        <v>0</v>
      </c>
      <c r="AL42" s="761"/>
      <c r="AM42" s="761">
        <f t="shared" ref="AM42:AN42" si="86">SUM(AM39:AM41)</f>
        <v>0</v>
      </c>
      <c r="AN42" s="762">
        <f t="shared" si="86"/>
        <v>0</v>
      </c>
    </row>
    <row r="43" spans="2:40" x14ac:dyDescent="0.35">
      <c r="B43" s="96" t="s">
        <v>754</v>
      </c>
      <c r="C43" s="157">
        <f>'4 LAINAT'!D42</f>
        <v>0</v>
      </c>
      <c r="D43" s="400">
        <f>'4 LAINAT'!E42</f>
        <v>0</v>
      </c>
      <c r="E43" s="401">
        <f>'4 LAINAT'!F42</f>
        <v>0</v>
      </c>
      <c r="F43" s="162"/>
      <c r="G43" s="162"/>
      <c r="H43" s="162"/>
      <c r="I43" s="162"/>
      <c r="J43" s="767"/>
      <c r="K43" s="768">
        <f>'4 LAINAT'!G42</f>
        <v>0</v>
      </c>
      <c r="L43" s="162"/>
      <c r="M43" s="162">
        <f>IF($E43=0,0,-CUMPRINC($E43/12,$D43,$C43,K44,K45,0))</f>
        <v>0</v>
      </c>
      <c r="N43" s="162"/>
      <c r="O43" s="162">
        <f>K43-M43</f>
        <v>0</v>
      </c>
      <c r="P43" s="245">
        <f>IF($D43&lt;K44,0,IF($E43=0,0,-CUMIPMT($E43/12,$D43,$C43,K44,K45,0)))</f>
        <v>0</v>
      </c>
      <c r="Q43" s="768"/>
      <c r="R43" s="162"/>
      <c r="S43" s="162">
        <f>IF($D43&lt;Q44,0,IF($E43=0,0,-CUMPRINC($E43/12,$D43,$C43,Q44,Q45,0)))</f>
        <v>0</v>
      </c>
      <c r="T43" s="162"/>
      <c r="U43" s="162">
        <f>O43-S43</f>
        <v>0</v>
      </c>
      <c r="V43" s="245">
        <f>IF($D43&lt;Q44,0,IF($E43=0,0,-CUMIPMT($E43/12,$D43,$C43,Q44,Q45,0)))</f>
        <v>0</v>
      </c>
      <c r="W43" s="768"/>
      <c r="X43" s="162"/>
      <c r="Y43" s="162">
        <f>IF($D43&lt;W44,0,IF($E43=0,0,-CUMPRINC($E43/12,$D43,$C43,W44,W45,0)))</f>
        <v>0</v>
      </c>
      <c r="Z43" s="162"/>
      <c r="AA43" s="162">
        <f>U43-Y43</f>
        <v>0</v>
      </c>
      <c r="AB43" s="245">
        <f>IF($D43&lt;W44,0,IF($E43=0,0,-CUMIPMT($E43/12,$D43,$C43,W44,W45,0)))</f>
        <v>0</v>
      </c>
      <c r="AC43" s="768"/>
      <c r="AD43" s="162"/>
      <c r="AE43" s="162">
        <f>IF($D43&lt;AC44,0,IF($E43=0,0,-CUMPRINC($E43/12,$D43,$C43,AC44,AC45,0)))</f>
        <v>0</v>
      </c>
      <c r="AF43" s="162"/>
      <c r="AG43" s="162">
        <f>AA43-AE43</f>
        <v>0</v>
      </c>
      <c r="AH43" s="245">
        <f>IF($D43&lt;AC44,0,IF($E43=0,0,-CUMIPMT($E43/12,$D43,$C43,AC44,AC45,0)))</f>
        <v>0</v>
      </c>
      <c r="AI43" s="768"/>
      <c r="AJ43" s="162"/>
      <c r="AK43" s="162">
        <f>IF($D43&lt;AI44,0,IF($E43=0,0,-CUMPRINC($E43/12,$D43,$C43,AI44,AI45,0)))</f>
        <v>0</v>
      </c>
      <c r="AL43" s="162"/>
      <c r="AM43" s="162">
        <f>AG43-AK43</f>
        <v>0</v>
      </c>
      <c r="AN43" s="245">
        <f>IF($D43&lt;AI44,0,IF($E43=0,0,-CUMIPMT($E43/12,$D43,$C43,AI44,AI45,0)))</f>
        <v>0</v>
      </c>
    </row>
    <row r="44" spans="2:40" x14ac:dyDescent="0.35">
      <c r="B44" s="53" t="s">
        <v>751</v>
      </c>
      <c r="C44" s="145"/>
      <c r="D44" s="389"/>
      <c r="E44" s="390"/>
      <c r="F44" s="151"/>
      <c r="G44" s="151"/>
      <c r="H44" s="151"/>
      <c r="I44" s="151"/>
      <c r="J44" s="641"/>
      <c r="K44" s="557">
        <v>1</v>
      </c>
      <c r="L44" s="151"/>
      <c r="M44" s="151"/>
      <c r="N44" s="151"/>
      <c r="O44" s="151"/>
      <c r="P44" s="177"/>
      <c r="Q44" s="557">
        <v>13</v>
      </c>
      <c r="R44" s="151"/>
      <c r="S44" s="151"/>
      <c r="T44" s="151"/>
      <c r="U44" s="151"/>
      <c r="V44" s="177"/>
      <c r="W44" s="557">
        <v>25</v>
      </c>
      <c r="X44" s="151"/>
      <c r="Y44" s="151"/>
      <c r="Z44" s="151"/>
      <c r="AA44" s="151"/>
      <c r="AB44" s="177"/>
      <c r="AC44" s="557">
        <v>37</v>
      </c>
      <c r="AD44" s="151"/>
      <c r="AE44" s="151"/>
      <c r="AF44" s="151"/>
      <c r="AG44" s="151"/>
      <c r="AH44" s="177"/>
      <c r="AI44" s="557">
        <v>49</v>
      </c>
      <c r="AJ44" s="151"/>
      <c r="AK44" s="151"/>
      <c r="AL44" s="151"/>
      <c r="AM44" s="151"/>
      <c r="AN44" s="177"/>
    </row>
    <row r="45" spans="2:40" x14ac:dyDescent="0.35">
      <c r="B45" s="53" t="s">
        <v>752</v>
      </c>
      <c r="C45" s="145"/>
      <c r="D45" s="389"/>
      <c r="E45" s="390"/>
      <c r="F45" s="151"/>
      <c r="G45" s="151"/>
      <c r="H45" s="151"/>
      <c r="I45" s="151"/>
      <c r="J45" s="641"/>
      <c r="K45" s="557">
        <v>12</v>
      </c>
      <c r="L45" s="151"/>
      <c r="M45" s="151"/>
      <c r="N45" s="151"/>
      <c r="O45" s="151"/>
      <c r="P45" s="177"/>
      <c r="Q45" s="557">
        <v>24</v>
      </c>
      <c r="R45" s="151"/>
      <c r="S45" s="151"/>
      <c r="T45" s="151"/>
      <c r="U45" s="151"/>
      <c r="V45" s="177"/>
      <c r="W45" s="557">
        <v>36</v>
      </c>
      <c r="X45" s="151"/>
      <c r="Y45" s="151"/>
      <c r="Z45" s="151"/>
      <c r="AA45" s="151"/>
      <c r="AB45" s="177"/>
      <c r="AC45" s="557">
        <v>48</v>
      </c>
      <c r="AD45" s="151"/>
      <c r="AE45" s="151"/>
      <c r="AF45" s="151"/>
      <c r="AG45" s="151"/>
      <c r="AH45" s="177"/>
      <c r="AI45" s="557">
        <v>60</v>
      </c>
      <c r="AJ45" s="151"/>
      <c r="AK45" s="151"/>
      <c r="AL45" s="151"/>
      <c r="AM45" s="151"/>
      <c r="AN45" s="177"/>
    </row>
    <row r="46" spans="2:40" x14ac:dyDescent="0.35">
      <c r="B46" s="96" t="s">
        <v>755</v>
      </c>
      <c r="C46" s="157">
        <f>'4 LAINAT'!D43</f>
        <v>0</v>
      </c>
      <c r="D46" s="400">
        <f>'4 LAINAT'!E43</f>
        <v>0</v>
      </c>
      <c r="E46" s="401">
        <f>'4 LAINAT'!F43</f>
        <v>0</v>
      </c>
      <c r="F46" s="162"/>
      <c r="G46" s="162"/>
      <c r="H46" s="162"/>
      <c r="I46" s="162"/>
      <c r="J46" s="767"/>
      <c r="K46" s="768">
        <f>'4 LAINAT'!G43</f>
        <v>0</v>
      </c>
      <c r="L46" s="162"/>
      <c r="M46" s="162">
        <f>IF($E46=0,0,IF($K46=0,0,-CUMPRINC($E46/12,$D46,$C46,Q47,Q48,0)))</f>
        <v>0</v>
      </c>
      <c r="N46" s="162"/>
      <c r="O46" s="162"/>
      <c r="P46" s="245"/>
      <c r="Q46" s="768">
        <f>'4 LAINAT'!J43</f>
        <v>0</v>
      </c>
      <c r="R46" s="162"/>
      <c r="S46" s="162">
        <f>IF($D46&lt;Q47,0,IF($E46=0,0,-CUMPRINC($E46/12,$D46,$C46,Q47,Q48,0)))</f>
        <v>0</v>
      </c>
      <c r="T46" s="162"/>
      <c r="U46" s="162">
        <f>Q46-S46</f>
        <v>0</v>
      </c>
      <c r="V46" s="245">
        <f>IF($D46&lt;Q47,0,IF($E46=0,0,-CUMIPMT($E46/12,$D46,$C46,Q47,Q48,0)))</f>
        <v>0</v>
      </c>
      <c r="W46" s="768"/>
      <c r="X46" s="162"/>
      <c r="Y46" s="162">
        <f>IF($D46&lt;W47,0,IF($E46=0,0,-CUMPRINC($E46/12,$D46,$C46,W47,W48,0)))</f>
        <v>0</v>
      </c>
      <c r="Z46" s="162"/>
      <c r="AA46" s="162">
        <f>U46-Y46</f>
        <v>0</v>
      </c>
      <c r="AB46" s="245">
        <f>IF($D46&lt;W47,0,IF($E46=0,0,-CUMIPMT($E46/12,$D46,$C46,W47,W48,0)))</f>
        <v>0</v>
      </c>
      <c r="AC46" s="768"/>
      <c r="AD46" s="162"/>
      <c r="AE46" s="162">
        <f>IF($D46&lt;AC47,0,IF($E46=0,0,-CUMPRINC($E46/12,$D46,$C46,AC47,AC48,0)))</f>
        <v>0</v>
      </c>
      <c r="AF46" s="162"/>
      <c r="AG46" s="162">
        <f>AA46-AE46</f>
        <v>0</v>
      </c>
      <c r="AH46" s="245">
        <f>IF($D46&lt;AC47,0,IF($E46=0,0,-CUMIPMT($E46/12,$D46,$C46,AC47,AC48,0)))</f>
        <v>0</v>
      </c>
      <c r="AI46" s="768"/>
      <c r="AJ46" s="162"/>
      <c r="AK46" s="162">
        <f>IF($D46&lt;AI47,0,IF($E46=0,0,-CUMPRINC($E46/12,$D46,$C46,AI47,AI48,0)))</f>
        <v>0</v>
      </c>
      <c r="AL46" s="162"/>
      <c r="AM46" s="162">
        <f>AG46-AK46</f>
        <v>0</v>
      </c>
      <c r="AN46" s="245">
        <f>IF($D46&lt;AI47,0,IF($E46=0,0,-CUMIPMT($E46/12,$D46,$C46,AI47,AI48,0)))</f>
        <v>0</v>
      </c>
    </row>
    <row r="47" spans="2:40" x14ac:dyDescent="0.35">
      <c r="B47" s="53" t="s">
        <v>751</v>
      </c>
      <c r="C47" s="145"/>
      <c r="D47" s="389"/>
      <c r="E47" s="390"/>
      <c r="F47" s="151"/>
      <c r="G47" s="151"/>
      <c r="H47" s="151"/>
      <c r="I47" s="151"/>
      <c r="J47" s="641"/>
      <c r="K47" s="557"/>
      <c r="L47" s="151"/>
      <c r="M47" s="151"/>
      <c r="N47" s="151"/>
      <c r="O47" s="151"/>
      <c r="P47" s="177"/>
      <c r="Q47" s="557">
        <v>1</v>
      </c>
      <c r="R47" s="151"/>
      <c r="S47" s="151"/>
      <c r="T47" s="151"/>
      <c r="U47" s="151"/>
      <c r="V47" s="177"/>
      <c r="W47" s="557">
        <v>13</v>
      </c>
      <c r="X47" s="151"/>
      <c r="Y47" s="151"/>
      <c r="Z47" s="151"/>
      <c r="AA47" s="151"/>
      <c r="AB47" s="177"/>
      <c r="AC47" s="557">
        <v>25</v>
      </c>
      <c r="AD47" s="151"/>
      <c r="AE47" s="151"/>
      <c r="AF47" s="151"/>
      <c r="AG47" s="151"/>
      <c r="AH47" s="177"/>
      <c r="AI47" s="557">
        <v>37</v>
      </c>
      <c r="AJ47" s="151"/>
      <c r="AK47" s="151"/>
      <c r="AL47" s="151"/>
      <c r="AM47" s="151"/>
      <c r="AN47" s="177"/>
    </row>
    <row r="48" spans="2:40" x14ac:dyDescent="0.35">
      <c r="B48" s="53" t="s">
        <v>752</v>
      </c>
      <c r="C48" s="145"/>
      <c r="D48" s="389"/>
      <c r="E48" s="390"/>
      <c r="F48" s="151"/>
      <c r="G48" s="151"/>
      <c r="H48" s="151"/>
      <c r="I48" s="151"/>
      <c r="J48" s="641"/>
      <c r="K48" s="557"/>
      <c r="L48" s="151"/>
      <c r="M48" s="151"/>
      <c r="N48" s="151"/>
      <c r="O48" s="151"/>
      <c r="P48" s="177"/>
      <c r="Q48" s="557">
        <v>12</v>
      </c>
      <c r="R48" s="151"/>
      <c r="S48" s="151"/>
      <c r="T48" s="151"/>
      <c r="U48" s="151"/>
      <c r="V48" s="177"/>
      <c r="W48" s="557">
        <v>24</v>
      </c>
      <c r="X48" s="151"/>
      <c r="Y48" s="151"/>
      <c r="Z48" s="151"/>
      <c r="AA48" s="151"/>
      <c r="AB48" s="177"/>
      <c r="AC48" s="557">
        <v>36</v>
      </c>
      <c r="AD48" s="151"/>
      <c r="AE48" s="151"/>
      <c r="AF48" s="151"/>
      <c r="AG48" s="151"/>
      <c r="AH48" s="177"/>
      <c r="AI48" s="557">
        <v>48</v>
      </c>
      <c r="AJ48" s="151"/>
      <c r="AK48" s="151"/>
      <c r="AL48" s="151"/>
      <c r="AM48" s="151"/>
      <c r="AN48" s="177"/>
    </row>
    <row r="49" spans="2:40" x14ac:dyDescent="0.35">
      <c r="B49" s="96" t="s">
        <v>756</v>
      </c>
      <c r="C49" s="157">
        <f>'4 LAINAT'!D44</f>
        <v>0</v>
      </c>
      <c r="D49" s="400">
        <f>'4 LAINAT'!E44</f>
        <v>0</v>
      </c>
      <c r="E49" s="401">
        <f>'4 LAINAT'!F44</f>
        <v>0</v>
      </c>
      <c r="F49" s="162"/>
      <c r="G49" s="162"/>
      <c r="H49" s="162"/>
      <c r="I49" s="162"/>
      <c r="J49" s="767"/>
      <c r="K49" s="768"/>
      <c r="L49" s="162"/>
      <c r="M49" s="162"/>
      <c r="N49" s="162"/>
      <c r="O49" s="162"/>
      <c r="P49" s="245"/>
      <c r="Q49" s="768"/>
      <c r="R49" s="162"/>
      <c r="S49" s="162"/>
      <c r="T49" s="162"/>
      <c r="U49" s="162"/>
      <c r="V49" s="245"/>
      <c r="W49" s="768">
        <f>'4 LAINAT'!M44</f>
        <v>0</v>
      </c>
      <c r="X49" s="162"/>
      <c r="Y49" s="162">
        <f>IF($D49&lt;W50,0,IF($E49=0,0,-CUMPRINC($E49/12,$D49,$C49,W50,W51,0)))</f>
        <v>0</v>
      </c>
      <c r="Z49" s="162"/>
      <c r="AA49" s="162">
        <f>W49-Y49</f>
        <v>0</v>
      </c>
      <c r="AB49" s="245">
        <f>IF($D49&lt;W50,0,IF($E49=0,0,-CUMIPMT($E49/12,$D49,$C49,W50,W51,0)))</f>
        <v>0</v>
      </c>
      <c r="AC49" s="768"/>
      <c r="AD49" s="162"/>
      <c r="AE49" s="162">
        <f>IF($D49&lt;AC50,0,IF($E49=0,0,-CUMPRINC($E49/12,$D49,$C49,AC50,AC51,0)))</f>
        <v>0</v>
      </c>
      <c r="AF49" s="162"/>
      <c r="AG49" s="162">
        <f>AA49-AE49</f>
        <v>0</v>
      </c>
      <c r="AH49" s="245">
        <f>IF($D49&lt;AC50,0,IF($E49=0,0,-CUMIPMT($E49/12,$D49,$C49,AC50,AC51,0)))</f>
        <v>0</v>
      </c>
      <c r="AI49" s="768"/>
      <c r="AJ49" s="162"/>
      <c r="AK49" s="162">
        <f>IF($D49&lt;AI50,0,IF($E49=0,0,-CUMPRINC($E49/12,$D49,$C49,AI50,AI51,0)))</f>
        <v>0</v>
      </c>
      <c r="AL49" s="162"/>
      <c r="AM49" s="162">
        <f>AG49-AK49</f>
        <v>0</v>
      </c>
      <c r="AN49" s="245">
        <f>IF($D49&lt;AI50,0,IF($E49=0,0,-CUMIPMT($E49/12,$D49,$C49,AI50,AI51,0)))</f>
        <v>0</v>
      </c>
    </row>
    <row r="50" spans="2:40" x14ac:dyDescent="0.35">
      <c r="B50" s="53" t="s">
        <v>751</v>
      </c>
      <c r="C50" s="145"/>
      <c r="D50" s="389"/>
      <c r="E50" s="390"/>
      <c r="F50" s="151"/>
      <c r="G50" s="151"/>
      <c r="H50" s="151"/>
      <c r="I50" s="151"/>
      <c r="J50" s="641"/>
      <c r="K50" s="557"/>
      <c r="L50" s="151"/>
      <c r="M50" s="151"/>
      <c r="N50" s="151"/>
      <c r="O50" s="151"/>
      <c r="P50" s="177"/>
      <c r="Q50" s="557"/>
      <c r="R50" s="151"/>
      <c r="S50" s="151"/>
      <c r="T50" s="151"/>
      <c r="U50" s="151"/>
      <c r="V50" s="177"/>
      <c r="W50" s="557">
        <v>1</v>
      </c>
      <c r="X50" s="151"/>
      <c r="Y50" s="151"/>
      <c r="Z50" s="151"/>
      <c r="AA50" s="151"/>
      <c r="AB50" s="177"/>
      <c r="AC50" s="557">
        <v>13</v>
      </c>
      <c r="AD50" s="151"/>
      <c r="AE50" s="151"/>
      <c r="AF50" s="151"/>
      <c r="AG50" s="151"/>
      <c r="AH50" s="177"/>
      <c r="AI50" s="557">
        <v>25</v>
      </c>
      <c r="AJ50" s="151"/>
      <c r="AK50" s="151"/>
      <c r="AL50" s="151"/>
      <c r="AM50" s="151"/>
      <c r="AN50" s="177"/>
    </row>
    <row r="51" spans="2:40" x14ac:dyDescent="0.35">
      <c r="B51" s="53" t="s">
        <v>752</v>
      </c>
      <c r="C51" s="145"/>
      <c r="D51" s="389"/>
      <c r="E51" s="390"/>
      <c r="F51" s="151"/>
      <c r="G51" s="151"/>
      <c r="H51" s="151"/>
      <c r="I51" s="151"/>
      <c r="J51" s="641"/>
      <c r="K51" s="557"/>
      <c r="L51" s="151"/>
      <c r="M51" s="151"/>
      <c r="N51" s="151"/>
      <c r="O51" s="151"/>
      <c r="P51" s="177"/>
      <c r="Q51" s="557"/>
      <c r="R51" s="151"/>
      <c r="S51" s="151"/>
      <c r="T51" s="151"/>
      <c r="U51" s="151"/>
      <c r="V51" s="177"/>
      <c r="W51" s="557">
        <v>12</v>
      </c>
      <c r="X51" s="151"/>
      <c r="Y51" s="151"/>
      <c r="Z51" s="151"/>
      <c r="AA51" s="151"/>
      <c r="AB51" s="177"/>
      <c r="AC51" s="557">
        <v>24</v>
      </c>
      <c r="AD51" s="151"/>
      <c r="AE51" s="151"/>
      <c r="AF51" s="151"/>
      <c r="AG51" s="151"/>
      <c r="AH51" s="177"/>
      <c r="AI51" s="557">
        <v>36</v>
      </c>
      <c r="AJ51" s="151"/>
      <c r="AK51" s="151"/>
      <c r="AL51" s="151"/>
      <c r="AM51" s="151"/>
      <c r="AN51" s="177"/>
    </row>
    <row r="52" spans="2:40" x14ac:dyDescent="0.35">
      <c r="B52" s="96" t="s">
        <v>757</v>
      </c>
      <c r="C52" s="157">
        <f>'4 LAINAT'!D45</f>
        <v>0</v>
      </c>
      <c r="D52" s="400">
        <f>'4 LAINAT'!E45</f>
        <v>0</v>
      </c>
      <c r="E52" s="401">
        <f>'4 LAINAT'!F45</f>
        <v>0</v>
      </c>
      <c r="F52" s="162"/>
      <c r="G52" s="162"/>
      <c r="H52" s="162"/>
      <c r="I52" s="162"/>
      <c r="J52" s="767"/>
      <c r="K52" s="768"/>
      <c r="L52" s="162"/>
      <c r="M52" s="162"/>
      <c r="N52" s="162"/>
      <c r="O52" s="162"/>
      <c r="P52" s="245"/>
      <c r="Q52" s="768"/>
      <c r="R52" s="162"/>
      <c r="S52" s="162"/>
      <c r="T52" s="162"/>
      <c r="U52" s="162"/>
      <c r="V52" s="245"/>
      <c r="W52" s="768">
        <f>'4 LAINAT'!M44</f>
        <v>0</v>
      </c>
      <c r="X52" s="162"/>
      <c r="Y52" s="162">
        <f>IF($E52=0,0,IF(W52=0,0,-CUMPRINC($E52/12,$D52,$C52,W53,W54,0)))</f>
        <v>0</v>
      </c>
      <c r="Z52" s="162"/>
      <c r="AA52" s="162">
        <f>W52-Y52</f>
        <v>0</v>
      </c>
      <c r="AB52" s="245">
        <f>IF($E52=0,0,IF($W52=0,0,-CUMIPMT($E52/12,$D52,$C52,W53,W54,0)))</f>
        <v>0</v>
      </c>
      <c r="AC52" s="768">
        <f>'4 LAINAT'!P45</f>
        <v>0</v>
      </c>
      <c r="AD52" s="162"/>
      <c r="AE52" s="162">
        <f>IF($D52&lt;AC53,0,IF($E52=0,0,-CUMPRINC($E52/12,$D52,$C52,AC53,AC54,0)))</f>
        <v>0</v>
      </c>
      <c r="AF52" s="162"/>
      <c r="AG52" s="162">
        <f>AC52-AE52</f>
        <v>0</v>
      </c>
      <c r="AH52" s="245">
        <f>IF($D52&lt;AC53,0,IF($E52=0,0,-CUMIPMT($E52/12,$D52,$C52,AC53,AC54,0)))</f>
        <v>0</v>
      </c>
      <c r="AI52" s="768"/>
      <c r="AJ52" s="162"/>
      <c r="AK52" s="162">
        <f>IF($D52&lt;AI53,0,IF($E52=0,0,-CUMPRINC($E52/12,$D52,$C52,AI53,AI54,0)))</f>
        <v>0</v>
      </c>
      <c r="AL52" s="162"/>
      <c r="AM52" s="162">
        <f>AG52-AK52</f>
        <v>0</v>
      </c>
      <c r="AN52" s="245">
        <f>IF($D52&lt;AI53,0,IF($E52=0,0,-CUMIPMT($E52/12,$D52,$C52,AI53,AI54,0)))</f>
        <v>0</v>
      </c>
    </row>
    <row r="53" spans="2:40" x14ac:dyDescent="0.35">
      <c r="B53" s="53" t="s">
        <v>751</v>
      </c>
      <c r="C53" s="145"/>
      <c r="D53" s="389"/>
      <c r="E53" s="390"/>
      <c r="F53" s="151"/>
      <c r="G53" s="151"/>
      <c r="H53" s="151"/>
      <c r="I53" s="151"/>
      <c r="J53" s="641"/>
      <c r="K53" s="557"/>
      <c r="L53" s="151"/>
      <c r="M53" s="151"/>
      <c r="N53" s="151"/>
      <c r="O53" s="151"/>
      <c r="P53" s="177"/>
      <c r="Q53" s="557"/>
      <c r="R53" s="151"/>
      <c r="S53" s="151"/>
      <c r="T53" s="151"/>
      <c r="U53" s="151"/>
      <c r="V53" s="177"/>
      <c r="W53" s="557"/>
      <c r="X53" s="151"/>
      <c r="Y53" s="151"/>
      <c r="Z53" s="151"/>
      <c r="AA53" s="151"/>
      <c r="AB53" s="177"/>
      <c r="AC53" s="557">
        <v>1</v>
      </c>
      <c r="AD53" s="151"/>
      <c r="AE53" s="151"/>
      <c r="AF53" s="151"/>
      <c r="AG53" s="151"/>
      <c r="AH53" s="177"/>
      <c r="AI53" s="557">
        <v>13</v>
      </c>
      <c r="AJ53" s="151"/>
      <c r="AK53" s="151"/>
      <c r="AL53" s="151"/>
      <c r="AM53" s="151"/>
      <c r="AN53" s="177"/>
    </row>
    <row r="54" spans="2:40" ht="15" thickBot="1" x14ac:dyDescent="0.4">
      <c r="B54" s="103" t="s">
        <v>752</v>
      </c>
      <c r="C54" s="103"/>
      <c r="D54" s="386"/>
      <c r="E54" s="387"/>
      <c r="F54" s="153"/>
      <c r="G54" s="153"/>
      <c r="H54" s="153"/>
      <c r="I54" s="153"/>
      <c r="J54" s="643"/>
      <c r="K54" s="559"/>
      <c r="L54" s="153"/>
      <c r="M54" s="153"/>
      <c r="N54" s="153"/>
      <c r="O54" s="153"/>
      <c r="P54" s="642"/>
      <c r="Q54" s="559"/>
      <c r="R54" s="153"/>
      <c r="S54" s="153"/>
      <c r="T54" s="153"/>
      <c r="U54" s="153"/>
      <c r="V54" s="642"/>
      <c r="W54" s="559"/>
      <c r="X54" s="153"/>
      <c r="Y54" s="153"/>
      <c r="Z54" s="153"/>
      <c r="AA54" s="153"/>
      <c r="AB54" s="642"/>
      <c r="AC54" s="559">
        <v>12</v>
      </c>
      <c r="AD54" s="153"/>
      <c r="AE54" s="153"/>
      <c r="AF54" s="153"/>
      <c r="AG54" s="153"/>
      <c r="AH54" s="642"/>
      <c r="AI54" s="559">
        <v>24</v>
      </c>
      <c r="AJ54" s="153"/>
      <c r="AK54" s="153"/>
      <c r="AL54" s="153"/>
      <c r="AM54" s="153"/>
      <c r="AN54" s="642"/>
    </row>
    <row r="55" spans="2:40" ht="15" thickTop="1" x14ac:dyDescent="0.35">
      <c r="B55" s="101" t="s">
        <v>758</v>
      </c>
      <c r="C55" s="171"/>
      <c r="D55" s="171"/>
      <c r="E55" s="171"/>
      <c r="F55" s="769"/>
      <c r="G55" s="769"/>
      <c r="H55" s="769"/>
      <c r="I55" s="769"/>
      <c r="J55" s="770"/>
      <c r="K55" s="771">
        <f>K43+K46+K49+K52</f>
        <v>0</v>
      </c>
      <c r="L55" s="769"/>
      <c r="M55" s="769">
        <f>SUM(M43:M54)</f>
        <v>0</v>
      </c>
      <c r="N55" s="769"/>
      <c r="O55" s="769">
        <f t="shared" ref="O55:P55" si="87">SUM(O43:O54)</f>
        <v>0</v>
      </c>
      <c r="P55" s="772">
        <f t="shared" si="87"/>
        <v>0</v>
      </c>
      <c r="Q55" s="771">
        <f>Q43+Q46+Q49+Q52</f>
        <v>0</v>
      </c>
      <c r="R55" s="769"/>
      <c r="S55" s="769">
        <f>SUM(S43:S54)</f>
        <v>0</v>
      </c>
      <c r="T55" s="769"/>
      <c r="U55" s="769">
        <f t="shared" ref="U55" si="88">SUM(U43:U54)</f>
        <v>0</v>
      </c>
      <c r="V55" s="772">
        <f t="shared" ref="V55" si="89">SUM(V43:V54)</f>
        <v>0</v>
      </c>
      <c r="W55" s="771">
        <f>W43+W46+W49+W52</f>
        <v>0</v>
      </c>
      <c r="X55" s="769"/>
      <c r="Y55" s="769">
        <f>SUM(Y43:Y54)</f>
        <v>0</v>
      </c>
      <c r="Z55" s="769"/>
      <c r="AA55" s="769">
        <f>SUM(AA43:AA54)</f>
        <v>0</v>
      </c>
      <c r="AB55" s="772">
        <f t="shared" ref="AB55" si="90">SUM(AB43:AB54)</f>
        <v>0</v>
      </c>
      <c r="AC55" s="771">
        <f>AC43+AC46+AC49+AC52</f>
        <v>0</v>
      </c>
      <c r="AD55" s="769"/>
      <c r="AE55" s="769">
        <f>SUM(AE43:AE54)</f>
        <v>0</v>
      </c>
      <c r="AF55" s="769"/>
      <c r="AG55" s="769">
        <f>SUM(AG43:AG54)</f>
        <v>0</v>
      </c>
      <c r="AH55" s="772">
        <f>SUM(AH43:AH54)</f>
        <v>0</v>
      </c>
      <c r="AI55" s="771">
        <f>AI43+AI46+AI49+AI52</f>
        <v>0</v>
      </c>
      <c r="AJ55" s="769"/>
      <c r="AK55" s="769">
        <f>SUM(AK43:AK54)</f>
        <v>0</v>
      </c>
      <c r="AL55" s="769"/>
      <c r="AM55" s="769">
        <f>SUM(AM43:AM54)</f>
        <v>0</v>
      </c>
      <c r="AN55" s="772">
        <f t="shared" ref="AN55" si="91">SUM(AN43:AN54)</f>
        <v>0</v>
      </c>
    </row>
    <row r="56" spans="2:40" x14ac:dyDescent="0.35">
      <c r="B56" s="423" t="s">
        <v>768</v>
      </c>
      <c r="C56" s="428"/>
      <c r="D56" s="428"/>
      <c r="E56" s="428"/>
      <c r="F56" s="429" t="s">
        <v>602</v>
      </c>
      <c r="G56" s="429" t="s">
        <v>568</v>
      </c>
      <c r="H56" s="429" t="s">
        <v>769</v>
      </c>
      <c r="I56" s="429" t="s">
        <v>770</v>
      </c>
      <c r="J56" s="430"/>
      <c r="K56" s="431" t="s">
        <v>602</v>
      </c>
      <c r="L56" s="428"/>
      <c r="M56" s="429" t="s">
        <v>568</v>
      </c>
      <c r="N56" s="429" t="s">
        <v>769</v>
      </c>
      <c r="O56" s="429" t="s">
        <v>770</v>
      </c>
      <c r="P56" s="432"/>
      <c r="Q56" s="431" t="s">
        <v>602</v>
      </c>
      <c r="R56" s="428"/>
      <c r="S56" s="429" t="s">
        <v>568</v>
      </c>
      <c r="T56" s="429" t="s">
        <v>769</v>
      </c>
      <c r="U56" s="429" t="s">
        <v>770</v>
      </c>
      <c r="V56" s="432"/>
      <c r="W56" s="431" t="s">
        <v>602</v>
      </c>
      <c r="X56" s="428"/>
      <c r="Y56" s="429" t="s">
        <v>568</v>
      </c>
      <c r="Z56" s="429" t="s">
        <v>769</v>
      </c>
      <c r="AA56" s="429" t="s">
        <v>770</v>
      </c>
      <c r="AB56" s="432"/>
      <c r="AC56" s="431" t="s">
        <v>602</v>
      </c>
      <c r="AD56" s="428"/>
      <c r="AE56" s="429" t="s">
        <v>568</v>
      </c>
      <c r="AF56" s="429" t="s">
        <v>769</v>
      </c>
      <c r="AG56" s="429" t="s">
        <v>770</v>
      </c>
      <c r="AH56" s="432"/>
      <c r="AI56" s="431" t="s">
        <v>602</v>
      </c>
      <c r="AJ56" s="428"/>
      <c r="AK56" s="429" t="s">
        <v>568</v>
      </c>
      <c r="AL56" s="429" t="s">
        <v>769</v>
      </c>
      <c r="AM56" s="429" t="s">
        <v>770</v>
      </c>
      <c r="AN56" s="432"/>
    </row>
    <row r="57" spans="2:40" x14ac:dyDescent="0.35">
      <c r="B57" s="53" t="s">
        <v>750</v>
      </c>
      <c r="C57" s="53"/>
      <c r="D57" s="53"/>
      <c r="E57" s="53"/>
      <c r="F57" s="151"/>
      <c r="G57" s="151"/>
      <c r="H57" s="151">
        <f>M39</f>
        <v>0</v>
      </c>
      <c r="I57" s="151">
        <f>C39-H57</f>
        <v>0</v>
      </c>
      <c r="J57" s="641"/>
      <c r="K57" s="557"/>
      <c r="L57" s="151"/>
      <c r="M57" s="151"/>
      <c r="N57" s="151">
        <f>S39</f>
        <v>0</v>
      </c>
      <c r="O57" s="151">
        <f>U39</f>
        <v>0</v>
      </c>
      <c r="P57" s="177"/>
      <c r="Q57" s="557"/>
      <c r="R57" s="151"/>
      <c r="S57" s="151">
        <f>S43</f>
        <v>0</v>
      </c>
      <c r="T57" s="151">
        <f>Y39</f>
        <v>0</v>
      </c>
      <c r="U57" s="151">
        <f>AA39</f>
        <v>0</v>
      </c>
      <c r="V57" s="177"/>
      <c r="W57" s="557"/>
      <c r="X57" s="151"/>
      <c r="Y57" s="151"/>
      <c r="Z57" s="151">
        <f>AE39</f>
        <v>0</v>
      </c>
      <c r="AA57" s="151">
        <f>AG39</f>
        <v>0</v>
      </c>
      <c r="AB57" s="177"/>
      <c r="AC57" s="557"/>
      <c r="AD57" s="151"/>
      <c r="AE57" s="151"/>
      <c r="AF57" s="151">
        <f>AK39</f>
        <v>0</v>
      </c>
      <c r="AG57" s="151">
        <f>AM39</f>
        <v>0</v>
      </c>
      <c r="AH57" s="177"/>
      <c r="AI57" s="557"/>
      <c r="AJ57" s="151"/>
      <c r="AK57" s="151"/>
      <c r="AL57" s="151"/>
      <c r="AM57" s="151"/>
      <c r="AN57" s="177"/>
    </row>
    <row r="58" spans="2:40" x14ac:dyDescent="0.35">
      <c r="B58" s="53" t="s">
        <v>754</v>
      </c>
      <c r="C58" s="53"/>
      <c r="D58" s="53"/>
      <c r="E58" s="53"/>
      <c r="F58" s="151"/>
      <c r="G58" s="151"/>
      <c r="H58" s="151"/>
      <c r="I58" s="151"/>
      <c r="J58" s="641"/>
      <c r="K58" s="557">
        <f>K43</f>
        <v>0</v>
      </c>
      <c r="L58" s="151"/>
      <c r="M58" s="151">
        <f>M43</f>
        <v>0</v>
      </c>
      <c r="N58" s="151">
        <f>IF(O43&gt;0,S43,0)</f>
        <v>0</v>
      </c>
      <c r="O58" s="151"/>
      <c r="P58" s="177"/>
      <c r="Q58" s="557">
        <f>Q43</f>
        <v>0</v>
      </c>
      <c r="R58" s="151"/>
      <c r="S58" s="151">
        <f>IF(Q58&gt;0,S43,0)</f>
        <v>0</v>
      </c>
      <c r="T58" s="151">
        <f>IF(O43&gt;0,Y43,0)</f>
        <v>0</v>
      </c>
      <c r="U58" s="151">
        <f>AA43</f>
        <v>0</v>
      </c>
      <c r="V58" s="177"/>
      <c r="W58" s="557">
        <f>W43</f>
        <v>0</v>
      </c>
      <c r="X58" s="151"/>
      <c r="Y58" s="151">
        <f>IF(W58&gt;0,Y43,0)</f>
        <v>0</v>
      </c>
      <c r="Z58" s="151">
        <f>IF(U42&gt;0,AE42,0)</f>
        <v>0</v>
      </c>
      <c r="AA58" s="151">
        <f>AG43</f>
        <v>0</v>
      </c>
      <c r="AB58" s="177"/>
      <c r="AC58" s="557">
        <f>AC43</f>
        <v>0</v>
      </c>
      <c r="AD58" s="151"/>
      <c r="AE58" s="151">
        <f>IF(AC58&gt;0,AE43,0)</f>
        <v>0</v>
      </c>
      <c r="AF58" s="151">
        <f>IF(AA42&gt;0,AK42,0)</f>
        <v>0</v>
      </c>
      <c r="AG58" s="151">
        <f>AM43</f>
        <v>0</v>
      </c>
      <c r="AH58" s="177"/>
      <c r="AI58" s="557">
        <f>AI43</f>
        <v>0</v>
      </c>
      <c r="AJ58" s="151"/>
      <c r="AK58" s="151">
        <f>IF(AI58&gt;0,AK43,0)</f>
        <v>0</v>
      </c>
      <c r="AL58" s="151">
        <f>IF(AG42&gt;0,AQ42,0)</f>
        <v>0</v>
      </c>
      <c r="AM58" s="151">
        <f>AS43</f>
        <v>0</v>
      </c>
      <c r="AN58" s="177"/>
    </row>
    <row r="59" spans="2:40" x14ac:dyDescent="0.35">
      <c r="B59" s="53" t="s">
        <v>755</v>
      </c>
      <c r="C59" s="53"/>
      <c r="D59" s="53"/>
      <c r="E59" s="53"/>
      <c r="F59" s="151"/>
      <c r="G59" s="151"/>
      <c r="H59" s="151"/>
      <c r="I59" s="151"/>
      <c r="J59" s="641"/>
      <c r="K59" s="557"/>
      <c r="L59" s="151"/>
      <c r="M59" s="151"/>
      <c r="N59" s="151">
        <f>IF(O46&gt;0,S46,0)</f>
        <v>0</v>
      </c>
      <c r="O59" s="151"/>
      <c r="P59" s="177"/>
      <c r="Q59" s="557">
        <f>Q46</f>
        <v>0</v>
      </c>
      <c r="R59" s="151"/>
      <c r="S59" s="151">
        <f>IF(Q59&gt;0,S46,0)</f>
        <v>0</v>
      </c>
      <c r="T59" s="151">
        <f>IF(O46&gt;0,Y46,0)</f>
        <v>0</v>
      </c>
      <c r="U59" s="151">
        <f>AA46</f>
        <v>0</v>
      </c>
      <c r="V59" s="177"/>
      <c r="W59" s="557">
        <f>W46</f>
        <v>0</v>
      </c>
      <c r="X59" s="151"/>
      <c r="Y59" s="151">
        <f>IF(W59&gt;0,Y46,0)</f>
        <v>0</v>
      </c>
      <c r="Z59" s="151">
        <f>IF(U46&gt;0,AE46,0)</f>
        <v>0</v>
      </c>
      <c r="AA59" s="151">
        <f>AG46</f>
        <v>0</v>
      </c>
      <c r="AB59" s="177"/>
      <c r="AC59" s="557">
        <f>AC46</f>
        <v>0</v>
      </c>
      <c r="AD59" s="151"/>
      <c r="AE59" s="151">
        <f>IF(AC59&gt;0,AE46,0)</f>
        <v>0</v>
      </c>
      <c r="AF59" s="151">
        <f>IF(AA46&gt;0,AK46,0)</f>
        <v>0</v>
      </c>
      <c r="AG59" s="151">
        <f>AM46</f>
        <v>0</v>
      </c>
      <c r="AH59" s="177"/>
      <c r="AI59" s="557">
        <f>AI46</f>
        <v>0</v>
      </c>
      <c r="AJ59" s="151"/>
      <c r="AK59" s="151">
        <f>IF(AI59&gt;0,AK46,0)</f>
        <v>0</v>
      </c>
      <c r="AL59" s="151">
        <f>IF(AG46&gt;0,AQ46,0)</f>
        <v>0</v>
      </c>
      <c r="AM59" s="151">
        <f>AS46</f>
        <v>0</v>
      </c>
      <c r="AN59" s="177"/>
    </row>
    <row r="60" spans="2:40" x14ac:dyDescent="0.35">
      <c r="B60" s="53" t="s">
        <v>756</v>
      </c>
      <c r="C60" s="53"/>
      <c r="D60" s="53"/>
      <c r="E60" s="53"/>
      <c r="F60" s="151"/>
      <c r="G60" s="151"/>
      <c r="H60" s="151"/>
      <c r="I60" s="151"/>
      <c r="J60" s="641"/>
      <c r="K60" s="557"/>
      <c r="L60" s="151"/>
      <c r="M60" s="151"/>
      <c r="N60" s="151">
        <f>IF(O49&gt;0,S49,0)</f>
        <v>0</v>
      </c>
      <c r="O60" s="151"/>
      <c r="P60" s="177"/>
      <c r="Q60" s="557">
        <f>Q49</f>
        <v>0</v>
      </c>
      <c r="R60" s="151"/>
      <c r="S60" s="151">
        <f>IF(Q60&gt;0,S49,0)</f>
        <v>0</v>
      </c>
      <c r="T60" s="151">
        <f>IF(O49&gt;0,Y49,0)</f>
        <v>0</v>
      </c>
      <c r="U60" s="151">
        <f>AA49</f>
        <v>0</v>
      </c>
      <c r="V60" s="177"/>
      <c r="W60" s="557">
        <f>W49</f>
        <v>0</v>
      </c>
      <c r="X60" s="151"/>
      <c r="Y60" s="151">
        <f>IF(W60&gt;0,Y49,0)</f>
        <v>0</v>
      </c>
      <c r="Z60" s="151">
        <f>IF(U49&gt;0,AE49,0)</f>
        <v>0</v>
      </c>
      <c r="AA60" s="151">
        <f>AG49</f>
        <v>0</v>
      </c>
      <c r="AB60" s="177"/>
      <c r="AC60" s="557">
        <f>AC49</f>
        <v>0</v>
      </c>
      <c r="AD60" s="151"/>
      <c r="AE60" s="151">
        <f>IF(AC60&gt;0,AE49,0)</f>
        <v>0</v>
      </c>
      <c r="AF60" s="151">
        <f>IF(AA49&gt;0,AK49,0)</f>
        <v>0</v>
      </c>
      <c r="AG60" s="151">
        <f>AM49</f>
        <v>0</v>
      </c>
      <c r="AH60" s="177"/>
      <c r="AI60" s="557">
        <f>AI49</f>
        <v>0</v>
      </c>
      <c r="AJ60" s="151"/>
      <c r="AK60" s="151">
        <f>IF(AI60&gt;0,AK49,0)</f>
        <v>0</v>
      </c>
      <c r="AL60" s="151">
        <f>IF(AG49&gt;0,AQ49,0)</f>
        <v>0</v>
      </c>
      <c r="AM60" s="151">
        <f>AS49</f>
        <v>0</v>
      </c>
      <c r="AN60" s="177"/>
    </row>
    <row r="61" spans="2:40" ht="15" thickBot="1" x14ac:dyDescent="0.4">
      <c r="B61" s="103" t="s">
        <v>757</v>
      </c>
      <c r="C61" s="103"/>
      <c r="D61" s="103"/>
      <c r="E61" s="103"/>
      <c r="F61" s="153"/>
      <c r="G61" s="153"/>
      <c r="H61" s="153"/>
      <c r="I61" s="153"/>
      <c r="J61" s="643"/>
      <c r="K61" s="559"/>
      <c r="L61" s="153"/>
      <c r="M61" s="153"/>
      <c r="N61" s="153">
        <f>IF(O52&gt;0,S52,0)</f>
        <v>0</v>
      </c>
      <c r="O61" s="153"/>
      <c r="P61" s="642"/>
      <c r="Q61" s="559">
        <f>Q52</f>
        <v>0</v>
      </c>
      <c r="R61" s="153"/>
      <c r="S61" s="153">
        <f>IF(Q61&gt;0,S52,0)</f>
        <v>0</v>
      </c>
      <c r="T61" s="153">
        <f>IF(O52&gt;0,Y52,0)</f>
        <v>0</v>
      </c>
      <c r="U61" s="153">
        <f>AA52</f>
        <v>0</v>
      </c>
      <c r="V61" s="642"/>
      <c r="W61" s="559">
        <f>W52</f>
        <v>0</v>
      </c>
      <c r="X61" s="153"/>
      <c r="Y61" s="153">
        <f>IF(W61&gt;0,Y52,0)</f>
        <v>0</v>
      </c>
      <c r="Z61" s="153">
        <f>IF(U52&gt;0,AE52,0)</f>
        <v>0</v>
      </c>
      <c r="AA61" s="153">
        <f>AG52</f>
        <v>0</v>
      </c>
      <c r="AB61" s="642"/>
      <c r="AC61" s="559">
        <f>AC52</f>
        <v>0</v>
      </c>
      <c r="AD61" s="153"/>
      <c r="AE61" s="153">
        <f>IF(AC61&gt;0,AE52,0)</f>
        <v>0</v>
      </c>
      <c r="AF61" s="153">
        <f>IF(AA52&gt;0,AK52,0)</f>
        <v>0</v>
      </c>
      <c r="AG61" s="153">
        <f>AM52</f>
        <v>0</v>
      </c>
      <c r="AH61" s="642"/>
      <c r="AI61" s="559">
        <f>AI52</f>
        <v>0</v>
      </c>
      <c r="AJ61" s="153"/>
      <c r="AK61" s="153">
        <f>IF(AI61&gt;0,AK52,0)</f>
        <v>0</v>
      </c>
      <c r="AL61" s="153">
        <f>IF(AG52&gt;0,AQ52,0)</f>
        <v>0</v>
      </c>
      <c r="AM61" s="153">
        <f>AS52</f>
        <v>0</v>
      </c>
      <c r="AN61" s="642"/>
    </row>
    <row r="62" spans="2:40" ht="15" thickTop="1" x14ac:dyDescent="0.35">
      <c r="B62" s="393" t="s">
        <v>83</v>
      </c>
      <c r="C62" s="393"/>
      <c r="D62" s="393"/>
      <c r="E62" s="393"/>
      <c r="F62" s="773"/>
      <c r="G62" s="773"/>
      <c r="H62" s="773"/>
      <c r="I62" s="773"/>
      <c r="J62" s="774"/>
      <c r="K62" s="775">
        <f>SUM(K57:K61)</f>
        <v>0</v>
      </c>
      <c r="L62" s="773">
        <f t="shared" ref="L62:AN62" si="92">SUM(L57:L61)</f>
        <v>0</v>
      </c>
      <c r="M62" s="773">
        <f t="shared" si="92"/>
        <v>0</v>
      </c>
      <c r="N62" s="773">
        <f t="shared" si="92"/>
        <v>0</v>
      </c>
      <c r="O62" s="773">
        <f t="shared" si="92"/>
        <v>0</v>
      </c>
      <c r="P62" s="776">
        <f t="shared" si="92"/>
        <v>0</v>
      </c>
      <c r="Q62" s="775">
        <f t="shared" si="92"/>
        <v>0</v>
      </c>
      <c r="R62" s="773">
        <f t="shared" si="92"/>
        <v>0</v>
      </c>
      <c r="S62" s="773">
        <f t="shared" si="92"/>
        <v>0</v>
      </c>
      <c r="T62" s="773">
        <f t="shared" si="92"/>
        <v>0</v>
      </c>
      <c r="U62" s="773">
        <f t="shared" si="92"/>
        <v>0</v>
      </c>
      <c r="V62" s="776">
        <f t="shared" si="92"/>
        <v>0</v>
      </c>
      <c r="W62" s="775">
        <f t="shared" si="92"/>
        <v>0</v>
      </c>
      <c r="X62" s="773">
        <f t="shared" si="92"/>
        <v>0</v>
      </c>
      <c r="Y62" s="773">
        <f t="shared" si="92"/>
        <v>0</v>
      </c>
      <c r="Z62" s="773">
        <f t="shared" si="92"/>
        <v>0</v>
      </c>
      <c r="AA62" s="773">
        <f t="shared" si="92"/>
        <v>0</v>
      </c>
      <c r="AB62" s="776">
        <f t="shared" si="92"/>
        <v>0</v>
      </c>
      <c r="AC62" s="775">
        <f t="shared" si="92"/>
        <v>0</v>
      </c>
      <c r="AD62" s="773">
        <f t="shared" si="92"/>
        <v>0</v>
      </c>
      <c r="AE62" s="773">
        <f t="shared" si="92"/>
        <v>0</v>
      </c>
      <c r="AF62" s="773">
        <f t="shared" si="92"/>
        <v>0</v>
      </c>
      <c r="AG62" s="773">
        <f t="shared" si="92"/>
        <v>0</v>
      </c>
      <c r="AH62" s="776">
        <f t="shared" si="92"/>
        <v>0</v>
      </c>
      <c r="AI62" s="775">
        <f t="shared" si="92"/>
        <v>0</v>
      </c>
      <c r="AJ62" s="773">
        <f t="shared" si="92"/>
        <v>0</v>
      </c>
      <c r="AK62" s="773">
        <f t="shared" si="92"/>
        <v>0</v>
      </c>
      <c r="AL62" s="773">
        <f t="shared" si="92"/>
        <v>0</v>
      </c>
      <c r="AM62" s="773">
        <f t="shared" si="92"/>
        <v>0</v>
      </c>
      <c r="AN62" s="776">
        <f t="shared" si="92"/>
        <v>0</v>
      </c>
    </row>
  </sheetData>
  <mergeCells count="18">
    <mergeCell ref="Q7:V7"/>
    <mergeCell ref="Q8:V8"/>
    <mergeCell ref="H8:H9"/>
    <mergeCell ref="I8:I9"/>
    <mergeCell ref="J8:J9"/>
    <mergeCell ref="K8:P8"/>
    <mergeCell ref="K7:P7"/>
    <mergeCell ref="C8:C9"/>
    <mergeCell ref="D8:D9"/>
    <mergeCell ref="E8:E9"/>
    <mergeCell ref="F8:F9"/>
    <mergeCell ref="G8:G9"/>
    <mergeCell ref="AI7:AN7"/>
    <mergeCell ref="AI8:AN8"/>
    <mergeCell ref="W7:AB7"/>
    <mergeCell ref="W8:AB8"/>
    <mergeCell ref="AC7:AH7"/>
    <mergeCell ref="AC8:AH8"/>
  </mergeCells>
  <phoneticPr fontId="10"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BC02-D4FE-47B7-80FE-D7C49A6067CF}">
  <sheetPr codeName="Taul14"/>
  <dimension ref="B1:X133"/>
  <sheetViews>
    <sheetView zoomScaleNormal="100" workbookViewId="0">
      <selection activeCell="G13" sqref="G13"/>
    </sheetView>
  </sheetViews>
  <sheetFormatPr defaultColWidth="9.1796875" defaultRowHeight="14.5" x14ac:dyDescent="0.35"/>
  <cols>
    <col min="1" max="1" width="2.7265625" style="5" customWidth="1"/>
    <col min="2" max="2" width="10.7265625" style="5" customWidth="1"/>
    <col min="3" max="3" width="3.7265625" style="10" customWidth="1"/>
    <col min="4" max="4" width="55.7265625" style="5" customWidth="1"/>
    <col min="5" max="5" width="12.7265625" style="5" customWidth="1"/>
    <col min="6" max="6" width="6.1796875" style="5" customWidth="1"/>
    <col min="7" max="7" width="12.7265625" style="5" customWidth="1"/>
    <col min="8" max="8" width="6.1796875" style="5" customWidth="1"/>
    <col min="9" max="9" width="12.7265625" style="5" customWidth="1"/>
    <col min="10" max="10" width="6.1796875" style="5" customWidth="1"/>
    <col min="11" max="11" width="12.7265625" style="5" customWidth="1"/>
    <col min="12" max="12" width="6.1796875" style="5" customWidth="1"/>
    <col min="13" max="13" width="12.7265625" style="5" customWidth="1"/>
    <col min="14" max="14" width="6.1796875" style="5" customWidth="1"/>
    <col min="15" max="16384" width="9.1796875" style="5"/>
  </cols>
  <sheetData>
    <row r="1" spans="2:24" ht="15.75" customHeight="1" x14ac:dyDescent="0.35"/>
    <row r="2" spans="2:24" ht="15.75" customHeight="1" x14ac:dyDescent="0.5">
      <c r="B2" s="822" t="s">
        <v>626</v>
      </c>
      <c r="D2" s="140" t="s">
        <v>591</v>
      </c>
    </row>
    <row r="4" spans="2:24" x14ac:dyDescent="0.35">
      <c r="D4" s="14" t="s">
        <v>867</v>
      </c>
      <c r="G4" s="14" t="s">
        <v>868</v>
      </c>
      <c r="M4" s="14" t="s">
        <v>869</v>
      </c>
    </row>
    <row r="5" spans="2:24" x14ac:dyDescent="0.35">
      <c r="D5" s="3" t="str">
        <f>'1 INVESTOINTISUUNNITELMA'!D5</f>
        <v>Malliyritys Oy</v>
      </c>
      <c r="G5" s="1015" t="str">
        <f>'1 INVESTOINTISUUNNITELMA'!D8</f>
        <v>Aki Laaksonen</v>
      </c>
      <c r="H5" s="1015"/>
      <c r="I5" s="1015"/>
      <c r="J5" s="1015"/>
      <c r="K5" s="1015"/>
      <c r="M5" s="1016">
        <f>'1 INVESTOINTISUUNNITELMA'!I5</f>
        <v>46159</v>
      </c>
      <c r="N5" s="1015"/>
    </row>
    <row r="6" spans="2:24" ht="15" thickBot="1" x14ac:dyDescent="0.4"/>
    <row r="7" spans="2:24" x14ac:dyDescent="0.35">
      <c r="C7" s="443"/>
      <c r="D7" s="444" t="s">
        <v>557</v>
      </c>
      <c r="E7" s="1086" t="s">
        <v>561</v>
      </c>
      <c r="F7" s="1087"/>
      <c r="G7" s="1088" t="s">
        <v>447</v>
      </c>
      <c r="H7" s="1089"/>
      <c r="I7" s="1088" t="s">
        <v>444</v>
      </c>
      <c r="J7" s="1089"/>
      <c r="K7" s="1088" t="s">
        <v>445</v>
      </c>
      <c r="L7" s="1089"/>
      <c r="M7" s="1090" t="s">
        <v>446</v>
      </c>
      <c r="N7" s="1020"/>
      <c r="P7" s="740" t="s">
        <v>878</v>
      </c>
      <c r="Q7" s="524"/>
      <c r="R7" s="524"/>
      <c r="S7" s="524"/>
      <c r="T7" s="524"/>
      <c r="U7" s="524"/>
      <c r="V7" s="524"/>
      <c r="W7" s="524"/>
      <c r="X7" s="150"/>
    </row>
    <row r="8" spans="2:24" ht="17" x14ac:dyDescent="0.4">
      <c r="C8" s="445"/>
      <c r="D8" s="446"/>
      <c r="E8" s="1091">
        <f>'2 &amp; 7 TULOSSUUNNITELMA'!H8</f>
        <v>2025</v>
      </c>
      <c r="F8" s="1092"/>
      <c r="G8" s="1093">
        <f>'2 &amp; 7 TULOSSUUNNITELMA'!J8</f>
        <v>2026</v>
      </c>
      <c r="H8" s="1094"/>
      <c r="I8" s="1093">
        <f>'2 &amp; 7 TULOSSUUNNITELMA'!L8</f>
        <v>2027</v>
      </c>
      <c r="J8" s="1094"/>
      <c r="K8" s="1093">
        <f>'2 &amp; 7 TULOSSUUNNITELMA'!N8</f>
        <v>2028</v>
      </c>
      <c r="L8" s="1094"/>
      <c r="M8" s="1095">
        <f>'2 &amp; 7 TULOSSUUNNITELMA'!P8</f>
        <v>2029</v>
      </c>
      <c r="N8" s="1096"/>
      <c r="P8" s="51"/>
      <c r="X8" s="528"/>
    </row>
    <row r="9" spans="2:24" x14ac:dyDescent="0.35">
      <c r="C9" s="447"/>
      <c r="D9" s="409"/>
      <c r="E9" s="420" t="s">
        <v>559</v>
      </c>
      <c r="F9" s="448" t="s">
        <v>560</v>
      </c>
      <c r="G9" s="420" t="s">
        <v>559</v>
      </c>
      <c r="H9" s="448" t="s">
        <v>560</v>
      </c>
      <c r="I9" s="420" t="s">
        <v>559</v>
      </c>
      <c r="J9" s="448" t="s">
        <v>560</v>
      </c>
      <c r="K9" s="420" t="s">
        <v>559</v>
      </c>
      <c r="L9" s="448" t="s">
        <v>560</v>
      </c>
      <c r="M9" s="449" t="s">
        <v>559</v>
      </c>
      <c r="N9" s="450" t="s">
        <v>560</v>
      </c>
      <c r="P9" s="51"/>
      <c r="X9" s="528"/>
    </row>
    <row r="10" spans="2:24" x14ac:dyDescent="0.35">
      <c r="C10" s="447"/>
      <c r="D10" s="451" t="s">
        <v>585</v>
      </c>
      <c r="E10" s="452">
        <f>'2 &amp; 7 TULOSSUUNNITELMA'!H10</f>
        <v>12</v>
      </c>
      <c r="F10" s="453"/>
      <c r="G10" s="452">
        <f>'2 &amp; 7 TULOSSUUNNITELMA'!J10</f>
        <v>12</v>
      </c>
      <c r="H10" s="453"/>
      <c r="I10" s="452">
        <f>'2 &amp; 7 TULOSSUUNNITELMA'!L10</f>
        <v>12</v>
      </c>
      <c r="J10" s="453"/>
      <c r="K10" s="452">
        <f>'2 &amp; 7 TULOSSUUNNITELMA'!N10</f>
        <v>12</v>
      </c>
      <c r="L10" s="453"/>
      <c r="M10" s="454">
        <f>'2 &amp; 7 TULOSSUUNNITELMA'!P10</f>
        <v>12</v>
      </c>
      <c r="N10" s="455"/>
      <c r="P10" s="51"/>
      <c r="X10" s="528"/>
    </row>
    <row r="11" spans="2:24" x14ac:dyDescent="0.35">
      <c r="C11" s="278" t="s">
        <v>275</v>
      </c>
      <c r="D11" s="149" t="s">
        <v>556</v>
      </c>
      <c r="E11" s="96"/>
      <c r="F11" s="96"/>
      <c r="G11" s="162">
        <f>G12+G17+G24-G30</f>
        <v>0</v>
      </c>
      <c r="H11" s="208">
        <f>IF(G$44=0,0,G11/G$44*100)</f>
        <v>0</v>
      </c>
      <c r="I11" s="162">
        <f>I12+I17+I24-I30</f>
        <v>0</v>
      </c>
      <c r="J11" s="208">
        <f>IF(I$44=0,0,I11/I$44*100)</f>
        <v>0</v>
      </c>
      <c r="K11" s="162">
        <f>K12+K17+K24-K30</f>
        <v>0</v>
      </c>
      <c r="L11" s="208">
        <f>IF(K$44=0,0,K11/K$44*100)</f>
        <v>0</v>
      </c>
      <c r="M11" s="162">
        <f>M12+M17+M24-M30</f>
        <v>0</v>
      </c>
      <c r="N11" s="279">
        <f>IF(M$44=0,0,M11/M$44*100)</f>
        <v>0</v>
      </c>
      <c r="P11" s="1017" t="s">
        <v>586</v>
      </c>
      <c r="Q11" s="1018"/>
      <c r="R11" s="1018"/>
      <c r="S11" s="1018"/>
      <c r="X11" s="528"/>
    </row>
    <row r="12" spans="2:24" x14ac:dyDescent="0.35">
      <c r="C12" s="280"/>
      <c r="D12" s="149" t="s">
        <v>448</v>
      </c>
      <c r="E12" s="53"/>
      <c r="F12" s="53"/>
      <c r="G12" s="151">
        <f>G13*G15</f>
        <v>0</v>
      </c>
      <c r="H12" s="53"/>
      <c r="I12" s="151">
        <f>I13*I15</f>
        <v>0</v>
      </c>
      <c r="J12" s="53"/>
      <c r="K12" s="151">
        <f>K13*K15</f>
        <v>0</v>
      </c>
      <c r="L12" s="53"/>
      <c r="M12" s="151">
        <f>M13*M15</f>
        <v>0</v>
      </c>
      <c r="N12" s="188"/>
      <c r="P12" s="336">
        <f>G8</f>
        <v>2026</v>
      </c>
      <c r="Q12" s="336">
        <f>I8</f>
        <v>2027</v>
      </c>
      <c r="R12" s="336">
        <f>K8</f>
        <v>2028</v>
      </c>
      <c r="S12" s="336">
        <f>M8</f>
        <v>2029</v>
      </c>
      <c r="U12" s="878"/>
      <c r="V12" s="878"/>
      <c r="W12" s="878"/>
      <c r="X12" s="879"/>
    </row>
    <row r="13" spans="2:24" x14ac:dyDescent="0.35">
      <c r="C13" s="280"/>
      <c r="D13" s="144" t="s">
        <v>449</v>
      </c>
      <c r="E13" s="53"/>
      <c r="F13" s="53"/>
      <c r="G13" s="864"/>
      <c r="H13" s="676"/>
      <c r="I13" s="864">
        <f>G13+G13*Q13</f>
        <v>0</v>
      </c>
      <c r="J13" s="676"/>
      <c r="K13" s="864">
        <f>I13+I13*R13</f>
        <v>0</v>
      </c>
      <c r="L13" s="676"/>
      <c r="M13" s="864">
        <f>K13+K13*S13</f>
        <v>0</v>
      </c>
      <c r="N13" s="683"/>
      <c r="P13" s="714"/>
      <c r="Q13" s="896">
        <v>0.03</v>
      </c>
      <c r="R13" s="896">
        <v>0.03</v>
      </c>
      <c r="S13" s="896">
        <v>0.03</v>
      </c>
      <c r="U13" s="878"/>
      <c r="V13" s="878"/>
      <c r="W13" s="878"/>
      <c r="X13" s="879"/>
    </row>
    <row r="14" spans="2:24" x14ac:dyDescent="0.35">
      <c r="C14" s="280"/>
      <c r="D14" s="144" t="s">
        <v>450</v>
      </c>
      <c r="E14" s="53"/>
      <c r="F14" s="53"/>
      <c r="G14" s="864"/>
      <c r="H14" s="676"/>
      <c r="I14" s="864">
        <f>G14+G14*Q14</f>
        <v>0</v>
      </c>
      <c r="J14" s="676"/>
      <c r="K14" s="864">
        <f>I14+I14*R14</f>
        <v>0</v>
      </c>
      <c r="L14" s="676"/>
      <c r="M14" s="864">
        <f>K14+K14*S14</f>
        <v>0</v>
      </c>
      <c r="N14" s="683"/>
      <c r="P14" s="714"/>
      <c r="Q14" s="896">
        <v>0.03</v>
      </c>
      <c r="R14" s="896">
        <v>0.03</v>
      </c>
      <c r="S14" s="896">
        <v>0.03</v>
      </c>
      <c r="U14" s="878"/>
      <c r="V14" s="878"/>
      <c r="W14" s="878"/>
      <c r="X14" s="879"/>
    </row>
    <row r="15" spans="2:24" x14ac:dyDescent="0.35">
      <c r="C15" s="280"/>
      <c r="D15" s="144" t="s">
        <v>451</v>
      </c>
      <c r="E15" s="53"/>
      <c r="F15" s="53"/>
      <c r="G15" s="910">
        <v>12.5</v>
      </c>
      <c r="H15" s="676"/>
      <c r="I15" s="910">
        <f>G15</f>
        <v>12.5</v>
      </c>
      <c r="J15" s="676"/>
      <c r="K15" s="910">
        <f>I15</f>
        <v>12.5</v>
      </c>
      <c r="L15" s="676"/>
      <c r="M15" s="910">
        <f>K15</f>
        <v>12.5</v>
      </c>
      <c r="N15" s="683"/>
      <c r="P15" s="755" t="s">
        <v>879</v>
      </c>
      <c r="V15" s="878"/>
      <c r="W15" s="878"/>
      <c r="X15" s="879"/>
    </row>
    <row r="16" spans="2:24" x14ac:dyDescent="0.35">
      <c r="C16" s="280"/>
      <c r="D16" s="144" t="s">
        <v>452</v>
      </c>
      <c r="E16" s="53"/>
      <c r="F16" s="53"/>
      <c r="G16" s="908">
        <v>0.28999999999999998</v>
      </c>
      <c r="H16" s="676"/>
      <c r="I16" s="908">
        <f>G16</f>
        <v>0.28999999999999998</v>
      </c>
      <c r="J16" s="676"/>
      <c r="K16" s="908">
        <f>I16</f>
        <v>0.28999999999999998</v>
      </c>
      <c r="L16" s="676"/>
      <c r="M16" s="908">
        <f>K16</f>
        <v>0.28999999999999998</v>
      </c>
      <c r="N16" s="683"/>
      <c r="P16" s="51"/>
      <c r="U16" s="878"/>
      <c r="V16" s="878"/>
      <c r="W16" s="878"/>
      <c r="X16" s="879"/>
    </row>
    <row r="17" spans="3:24" x14ac:dyDescent="0.35">
      <c r="C17" s="280"/>
      <c r="D17" s="944" t="s">
        <v>453</v>
      </c>
      <c r="E17" s="53"/>
      <c r="F17" s="53"/>
      <c r="G17" s="151">
        <f>G18*G19*G20*G21</f>
        <v>0</v>
      </c>
      <c r="H17" s="53"/>
      <c r="I17" s="151">
        <f>I18*I19*I20*I21</f>
        <v>0</v>
      </c>
      <c r="J17" s="53"/>
      <c r="K17" s="151">
        <f>K18*K19*K20*K21</f>
        <v>0</v>
      </c>
      <c r="L17" s="53"/>
      <c r="M17" s="151">
        <f>M18*M19*M20*M21</f>
        <v>0</v>
      </c>
      <c r="N17" s="188"/>
      <c r="P17" s="51"/>
      <c r="U17" s="878"/>
      <c r="V17" s="878"/>
      <c r="W17" s="878"/>
      <c r="X17" s="879"/>
    </row>
    <row r="18" spans="3:24" x14ac:dyDescent="0.35">
      <c r="C18" s="280"/>
      <c r="D18" s="144" t="s">
        <v>636</v>
      </c>
      <c r="E18" s="53"/>
      <c r="F18" s="53"/>
      <c r="G18" s="945"/>
      <c r="H18" s="676"/>
      <c r="I18" s="945">
        <f>G18+G18*Q18</f>
        <v>0</v>
      </c>
      <c r="J18" s="676"/>
      <c r="K18" s="945">
        <f>I18+I18*R18</f>
        <v>0</v>
      </c>
      <c r="L18" s="676"/>
      <c r="M18" s="945">
        <f>K18+K18*S18</f>
        <v>0</v>
      </c>
      <c r="N18" s="683"/>
      <c r="P18" s="714"/>
      <c r="Q18" s="896">
        <v>0.03</v>
      </c>
      <c r="R18" s="896">
        <v>0.03</v>
      </c>
      <c r="S18" s="896">
        <v>0.03</v>
      </c>
      <c r="U18" s="878"/>
      <c r="V18" s="878"/>
      <c r="W18" s="878"/>
      <c r="X18" s="879"/>
    </row>
    <row r="19" spans="3:24" x14ac:dyDescent="0.35">
      <c r="C19" s="280"/>
      <c r="D19" s="144" t="s">
        <v>454</v>
      </c>
      <c r="E19" s="53"/>
      <c r="F19" s="53"/>
      <c r="G19" s="910"/>
      <c r="H19" s="676"/>
      <c r="I19" s="910">
        <f>G19</f>
        <v>0</v>
      </c>
      <c r="J19" s="676"/>
      <c r="K19" s="910">
        <f>I19</f>
        <v>0</v>
      </c>
      <c r="L19" s="676"/>
      <c r="M19" s="910">
        <f>K19</f>
        <v>0</v>
      </c>
      <c r="N19" s="683"/>
      <c r="P19" s="51"/>
      <c r="U19" s="878"/>
      <c r="V19" s="878"/>
      <c r="W19" s="878"/>
      <c r="X19" s="879"/>
    </row>
    <row r="20" spans="3:24" x14ac:dyDescent="0.35">
      <c r="C20" s="280"/>
      <c r="D20" s="144" t="s">
        <v>455</v>
      </c>
      <c r="E20" s="53"/>
      <c r="F20" s="53"/>
      <c r="G20" s="946"/>
      <c r="H20" s="676"/>
      <c r="I20" s="946">
        <f>G20</f>
        <v>0</v>
      </c>
      <c r="J20" s="676"/>
      <c r="K20" s="946">
        <f>I20</f>
        <v>0</v>
      </c>
      <c r="L20" s="676"/>
      <c r="M20" s="946">
        <f>K20</f>
        <v>0</v>
      </c>
      <c r="N20" s="683"/>
      <c r="P20" s="51"/>
      <c r="U20" s="878"/>
      <c r="V20" s="878"/>
      <c r="W20" s="878"/>
      <c r="X20" s="879"/>
    </row>
    <row r="21" spans="3:24" x14ac:dyDescent="0.35">
      <c r="C21" s="280"/>
      <c r="D21" s="144" t="s">
        <v>451</v>
      </c>
      <c r="E21" s="53"/>
      <c r="F21" s="53"/>
      <c r="G21" s="910">
        <v>12.5</v>
      </c>
      <c r="H21" s="676"/>
      <c r="I21" s="910">
        <f>G21</f>
        <v>12.5</v>
      </c>
      <c r="J21" s="676"/>
      <c r="K21" s="910">
        <f>I21</f>
        <v>12.5</v>
      </c>
      <c r="L21" s="676"/>
      <c r="M21" s="910">
        <f>K21</f>
        <v>12.5</v>
      </c>
      <c r="N21" s="683"/>
      <c r="P21" s="755" t="s">
        <v>879</v>
      </c>
      <c r="V21" s="878"/>
      <c r="W21" s="878"/>
      <c r="X21" s="879"/>
    </row>
    <row r="22" spans="3:24" x14ac:dyDescent="0.35">
      <c r="C22" s="280"/>
      <c r="D22" s="144" t="s">
        <v>456</v>
      </c>
      <c r="E22" s="53"/>
      <c r="F22" s="53"/>
      <c r="G22" s="910"/>
      <c r="H22" s="676"/>
      <c r="I22" s="864">
        <f>G22+G22*Q22</f>
        <v>0</v>
      </c>
      <c r="J22" s="676"/>
      <c r="K22" s="864">
        <f>I22+I22*R22</f>
        <v>0</v>
      </c>
      <c r="L22" s="676"/>
      <c r="M22" s="864">
        <f>K22+K22*S22</f>
        <v>0</v>
      </c>
      <c r="N22" s="683"/>
      <c r="P22" s="714"/>
      <c r="Q22" s="896">
        <v>0.03</v>
      </c>
      <c r="R22" s="896">
        <v>0.03</v>
      </c>
      <c r="S22" s="896">
        <v>0.03</v>
      </c>
      <c r="U22" s="878"/>
      <c r="V22" s="878"/>
      <c r="W22" s="878"/>
      <c r="X22" s="879"/>
    </row>
    <row r="23" spans="3:24" x14ac:dyDescent="0.35">
      <c r="C23" s="280"/>
      <c r="D23" s="144" t="s">
        <v>457</v>
      </c>
      <c r="E23" s="53"/>
      <c r="F23" s="53"/>
      <c r="G23" s="908">
        <v>0.2</v>
      </c>
      <c r="H23" s="676"/>
      <c r="I23" s="908">
        <f>G23</f>
        <v>0.2</v>
      </c>
      <c r="J23" s="676"/>
      <c r="K23" s="908">
        <f>I23</f>
        <v>0.2</v>
      </c>
      <c r="L23" s="676"/>
      <c r="M23" s="908">
        <f>K23</f>
        <v>0.2</v>
      </c>
      <c r="N23" s="683"/>
      <c r="P23" s="51"/>
      <c r="U23" s="878"/>
      <c r="V23" s="878"/>
      <c r="W23" s="878"/>
      <c r="X23" s="879"/>
    </row>
    <row r="24" spans="3:24" x14ac:dyDescent="0.35">
      <c r="C24" s="280"/>
      <c r="D24" s="944" t="s">
        <v>458</v>
      </c>
      <c r="E24" s="53"/>
      <c r="F24" s="53"/>
      <c r="G24" s="151">
        <f>G25*G26*G27</f>
        <v>0</v>
      </c>
      <c r="H24" s="53"/>
      <c r="I24" s="151">
        <f>I25*I26*I27</f>
        <v>0</v>
      </c>
      <c r="J24" s="53"/>
      <c r="K24" s="151">
        <f>K25*K26*K27</f>
        <v>0</v>
      </c>
      <c r="L24" s="53"/>
      <c r="M24" s="151">
        <f>M25*M26*M27</f>
        <v>0</v>
      </c>
      <c r="N24" s="188"/>
      <c r="P24" s="51"/>
      <c r="U24" s="878"/>
      <c r="V24" s="878"/>
      <c r="W24" s="878"/>
      <c r="X24" s="879"/>
    </row>
    <row r="25" spans="3:24" x14ac:dyDescent="0.35">
      <c r="C25" s="280"/>
      <c r="D25" s="144" t="s">
        <v>459</v>
      </c>
      <c r="E25" s="53"/>
      <c r="F25" s="53"/>
      <c r="G25" s="947"/>
      <c r="H25" s="676"/>
      <c r="I25" s="947">
        <f>G25+G25*Q25</f>
        <v>0</v>
      </c>
      <c r="J25" s="676"/>
      <c r="K25" s="947">
        <f>I25+I25*R25</f>
        <v>0</v>
      </c>
      <c r="L25" s="676"/>
      <c r="M25" s="947">
        <f>K25+K25*S25</f>
        <v>0</v>
      </c>
      <c r="N25" s="683"/>
      <c r="P25" s="714"/>
      <c r="Q25" s="896">
        <v>0.03</v>
      </c>
      <c r="R25" s="896">
        <v>0.03</v>
      </c>
      <c r="S25" s="896">
        <v>0.03</v>
      </c>
      <c r="U25" s="878"/>
      <c r="V25" s="878"/>
      <c r="W25" s="878"/>
      <c r="X25" s="879"/>
    </row>
    <row r="26" spans="3:24" x14ac:dyDescent="0.35">
      <c r="C26" s="280"/>
      <c r="D26" s="144" t="s">
        <v>460</v>
      </c>
      <c r="E26" s="53"/>
      <c r="F26" s="53"/>
      <c r="G26" s="946"/>
      <c r="H26" s="676"/>
      <c r="I26" s="946">
        <f>G26</f>
        <v>0</v>
      </c>
      <c r="J26" s="676"/>
      <c r="K26" s="946">
        <f>I26</f>
        <v>0</v>
      </c>
      <c r="L26" s="676"/>
      <c r="M26" s="946">
        <f>K26</f>
        <v>0</v>
      </c>
      <c r="N26" s="683"/>
      <c r="P26" s="51"/>
      <c r="U26" s="878"/>
      <c r="V26" s="878"/>
      <c r="W26" s="878"/>
      <c r="X26" s="879"/>
    </row>
    <row r="27" spans="3:24" x14ac:dyDescent="0.35">
      <c r="C27" s="280"/>
      <c r="D27" s="144" t="s">
        <v>451</v>
      </c>
      <c r="E27" s="53"/>
      <c r="F27" s="53"/>
      <c r="G27" s="910">
        <v>12.5</v>
      </c>
      <c r="H27" s="676"/>
      <c r="I27" s="910">
        <f>G27</f>
        <v>12.5</v>
      </c>
      <c r="J27" s="676"/>
      <c r="K27" s="910">
        <f>I27</f>
        <v>12.5</v>
      </c>
      <c r="L27" s="676"/>
      <c r="M27" s="910">
        <f>K27</f>
        <v>12.5</v>
      </c>
      <c r="N27" s="683"/>
      <c r="P27" s="755" t="s">
        <v>879</v>
      </c>
      <c r="V27" s="878"/>
      <c r="W27" s="878"/>
      <c r="X27" s="879"/>
    </row>
    <row r="28" spans="3:24" x14ac:dyDescent="0.35">
      <c r="C28" s="280"/>
      <c r="D28" s="144" t="s">
        <v>456</v>
      </c>
      <c r="E28" s="53"/>
      <c r="F28" s="53"/>
      <c r="G28" s="910"/>
      <c r="H28" s="676"/>
      <c r="I28" s="864">
        <f>G28+G28*Q28</f>
        <v>0</v>
      </c>
      <c r="J28" s="676"/>
      <c r="K28" s="864">
        <f>I28+I28*R28</f>
        <v>0</v>
      </c>
      <c r="L28" s="676"/>
      <c r="M28" s="864">
        <f>K28+K28*S28</f>
        <v>0</v>
      </c>
      <c r="N28" s="683"/>
      <c r="P28" s="714"/>
      <c r="Q28" s="896">
        <v>0.03</v>
      </c>
      <c r="R28" s="896">
        <v>0.03</v>
      </c>
      <c r="S28" s="896">
        <v>0.03</v>
      </c>
      <c r="U28" s="878"/>
      <c r="V28" s="878"/>
      <c r="W28" s="878"/>
      <c r="X28" s="879"/>
    </row>
    <row r="29" spans="3:24" x14ac:dyDescent="0.35">
      <c r="C29" s="280"/>
      <c r="D29" s="144" t="s">
        <v>461</v>
      </c>
      <c r="E29" s="53"/>
      <c r="F29" s="53"/>
      <c r="G29" s="908">
        <v>0.25</v>
      </c>
      <c r="H29" s="676"/>
      <c r="I29" s="908">
        <f>G29</f>
        <v>0.25</v>
      </c>
      <c r="J29" s="676"/>
      <c r="K29" s="908">
        <f>I29</f>
        <v>0.25</v>
      </c>
      <c r="L29" s="676"/>
      <c r="M29" s="908">
        <f>K29</f>
        <v>0.25</v>
      </c>
      <c r="N29" s="683"/>
      <c r="P29" s="51"/>
      <c r="U29" s="878"/>
      <c r="V29" s="878"/>
      <c r="W29" s="878"/>
      <c r="X29" s="879"/>
    </row>
    <row r="30" spans="3:24" ht="15" thickBot="1" x14ac:dyDescent="0.4">
      <c r="C30" s="280"/>
      <c r="D30" s="212" t="s">
        <v>462</v>
      </c>
      <c r="E30" s="207"/>
      <c r="F30" s="207"/>
      <c r="G30" s="948"/>
      <c r="H30" s="715"/>
      <c r="I30" s="948">
        <v>0</v>
      </c>
      <c r="J30" s="715"/>
      <c r="K30" s="948">
        <v>0</v>
      </c>
      <c r="L30" s="715"/>
      <c r="M30" s="948">
        <v>0</v>
      </c>
      <c r="N30" s="716"/>
      <c r="P30" s="51"/>
      <c r="U30" s="878"/>
      <c r="V30" s="878"/>
      <c r="W30" s="878"/>
      <c r="X30" s="879"/>
    </row>
    <row r="31" spans="3:24" x14ac:dyDescent="0.35">
      <c r="C31" s="281" t="s">
        <v>276</v>
      </c>
      <c r="D31" s="148" t="s">
        <v>463</v>
      </c>
      <c r="E31" s="157"/>
      <c r="F31" s="157"/>
      <c r="G31" s="152">
        <f>G32+G39+G41+G43+G42</f>
        <v>0</v>
      </c>
      <c r="H31" s="208">
        <f>IF(G$44=0,0,G31/G$44*100)</f>
        <v>0</v>
      </c>
      <c r="I31" s="152">
        <f>I32+I39+I41+I43+I42</f>
        <v>0</v>
      </c>
      <c r="J31" s="208">
        <f>IF(I$44=0,0,I31/I$44*100)</f>
        <v>0</v>
      </c>
      <c r="K31" s="152">
        <f>K32+K39+K41+K43+K42</f>
        <v>0</v>
      </c>
      <c r="L31" s="208">
        <f>IF(K$44=0,0,K31/K$44*100)</f>
        <v>0</v>
      </c>
      <c r="M31" s="152">
        <f>M32+M39+M41+M43+M42</f>
        <v>0</v>
      </c>
      <c r="N31" s="279">
        <f>IF(M$44=0,0,M31/M$44*100)</f>
        <v>0</v>
      </c>
      <c r="P31" s="748"/>
      <c r="Q31" s="749"/>
      <c r="R31" s="750"/>
      <c r="U31" s="878"/>
      <c r="V31" s="878"/>
      <c r="W31" s="878"/>
      <c r="X31" s="879"/>
    </row>
    <row r="32" spans="3:24" x14ac:dyDescent="0.35">
      <c r="C32" s="280"/>
      <c r="D32" s="149" t="s">
        <v>464</v>
      </c>
      <c r="E32" s="53"/>
      <c r="F32" s="53"/>
      <c r="G32" s="151">
        <f>G34+G37+G38</f>
        <v>0</v>
      </c>
      <c r="H32" s="676"/>
      <c r="I32" s="151">
        <f>I34+I37+I38</f>
        <v>0</v>
      </c>
      <c r="J32" s="676"/>
      <c r="K32" s="151">
        <f>K34+K37+K38</f>
        <v>0</v>
      </c>
      <c r="L32" s="676"/>
      <c r="M32" s="151">
        <f>M34+M37+M38</f>
        <v>0</v>
      </c>
      <c r="N32" s="683"/>
      <c r="P32" s="51"/>
      <c r="T32" s="749"/>
      <c r="U32" s="878"/>
      <c r="V32" s="878"/>
      <c r="W32" s="878"/>
      <c r="X32" s="879"/>
    </row>
    <row r="33" spans="3:24" x14ac:dyDescent="0.35">
      <c r="C33" s="280"/>
      <c r="D33" s="144" t="s">
        <v>465</v>
      </c>
      <c r="E33" s="53"/>
      <c r="F33" s="53"/>
      <c r="G33" s="908">
        <v>0.17100000000000001</v>
      </c>
      <c r="H33" s="676"/>
      <c r="I33" s="908">
        <f>G33</f>
        <v>0.17100000000000001</v>
      </c>
      <c r="J33" s="676"/>
      <c r="K33" s="908">
        <f>I33</f>
        <v>0.17100000000000001</v>
      </c>
      <c r="L33" s="676"/>
      <c r="M33" s="908">
        <f>K33</f>
        <v>0.17100000000000001</v>
      </c>
      <c r="N33" s="683"/>
      <c r="P33" s="751"/>
      <c r="U33" s="878"/>
      <c r="V33" s="878"/>
      <c r="W33" s="878"/>
      <c r="X33" s="879"/>
    </row>
    <row r="34" spans="3:24" x14ac:dyDescent="0.35">
      <c r="C34" s="280"/>
      <c r="D34" s="144" t="s">
        <v>466</v>
      </c>
      <c r="E34" s="53"/>
      <c r="F34" s="53"/>
      <c r="G34" s="151">
        <f>(G17+G22+G24+G28)*G33</f>
        <v>0</v>
      </c>
      <c r="H34" s="676"/>
      <c r="I34" s="151">
        <f>(I17+I22+I24+I28)*I33</f>
        <v>0</v>
      </c>
      <c r="J34" s="676"/>
      <c r="K34" s="151">
        <f>(K17+K22+K24+K28)*K33</f>
        <v>0</v>
      </c>
      <c r="L34" s="676"/>
      <c r="M34" s="151">
        <f>(M17+M22+M24+M28)*M33</f>
        <v>0</v>
      </c>
      <c r="N34" s="683"/>
      <c r="P34" s="51"/>
      <c r="U34" s="878"/>
      <c r="V34" s="878"/>
      <c r="W34" s="878"/>
      <c r="X34" s="879"/>
    </row>
    <row r="35" spans="3:24" x14ac:dyDescent="0.35">
      <c r="C35" s="280"/>
      <c r="D35" s="144" t="s">
        <v>467</v>
      </c>
      <c r="E35" s="53"/>
      <c r="F35" s="53"/>
      <c r="G35" s="949">
        <f>(G13+G14)*G15</f>
        <v>0</v>
      </c>
      <c r="H35" s="676"/>
      <c r="I35" s="949">
        <f>G35+G35*Q35</f>
        <v>0</v>
      </c>
      <c r="J35" s="676"/>
      <c r="K35" s="949">
        <f>I35+I35*R35</f>
        <v>0</v>
      </c>
      <c r="L35" s="676"/>
      <c r="M35" s="949">
        <f>K35+K35*S35</f>
        <v>0</v>
      </c>
      <c r="N35" s="683"/>
      <c r="P35" s="714"/>
      <c r="Q35" s="896">
        <v>0.03</v>
      </c>
      <c r="R35" s="896">
        <v>0.03</v>
      </c>
      <c r="S35" s="896">
        <v>0.03</v>
      </c>
      <c r="U35" s="878"/>
      <c r="V35" s="878"/>
      <c r="W35" s="878"/>
      <c r="X35" s="879"/>
    </row>
    <row r="36" spans="3:24" x14ac:dyDescent="0.35">
      <c r="C36" s="280"/>
      <c r="D36" s="144" t="s">
        <v>468</v>
      </c>
      <c r="E36" s="53"/>
      <c r="F36" s="53"/>
      <c r="G36" s="908">
        <v>0.24399999999999999</v>
      </c>
      <c r="H36" s="676"/>
      <c r="I36" s="908">
        <f>G36</f>
        <v>0.24399999999999999</v>
      </c>
      <c r="J36" s="676"/>
      <c r="K36" s="908">
        <f>I36</f>
        <v>0.24399999999999999</v>
      </c>
      <c r="L36" s="676"/>
      <c r="M36" s="908">
        <f>K36</f>
        <v>0.24399999999999999</v>
      </c>
      <c r="N36" s="683"/>
      <c r="P36" s="51"/>
      <c r="U36" s="878"/>
      <c r="V36" s="878"/>
      <c r="W36" s="878"/>
      <c r="X36" s="879"/>
    </row>
    <row r="37" spans="3:24" x14ac:dyDescent="0.35">
      <c r="C37" s="280"/>
      <c r="D37" s="144" t="s">
        <v>469</v>
      </c>
      <c r="E37" s="53"/>
      <c r="F37" s="53"/>
      <c r="G37" s="151">
        <f>G35*G36</f>
        <v>0</v>
      </c>
      <c r="H37" s="676"/>
      <c r="I37" s="151">
        <f>I35*I36</f>
        <v>0</v>
      </c>
      <c r="J37" s="676"/>
      <c r="K37" s="151">
        <f>K35*K36</f>
        <v>0</v>
      </c>
      <c r="L37" s="676"/>
      <c r="M37" s="151">
        <f>M35*M36</f>
        <v>0</v>
      </c>
      <c r="N37" s="683"/>
      <c r="P37" s="529"/>
      <c r="U37" s="878"/>
      <c r="V37" s="878"/>
      <c r="W37" s="878"/>
      <c r="X37" s="879"/>
    </row>
    <row r="38" spans="3:24" x14ac:dyDescent="0.35">
      <c r="C38" s="280"/>
      <c r="D38" s="144" t="s">
        <v>470</v>
      </c>
      <c r="E38" s="53"/>
      <c r="F38" s="53"/>
      <c r="G38" s="910">
        <v>0</v>
      </c>
      <c r="H38" s="676"/>
      <c r="I38" s="910">
        <f>G38</f>
        <v>0</v>
      </c>
      <c r="J38" s="676"/>
      <c r="K38" s="910">
        <f>I38</f>
        <v>0</v>
      </c>
      <c r="L38" s="676"/>
      <c r="M38" s="910">
        <f>K38</f>
        <v>0</v>
      </c>
      <c r="N38" s="683"/>
      <c r="P38" s="752"/>
      <c r="U38" s="878"/>
      <c r="V38" s="878"/>
      <c r="W38" s="878"/>
      <c r="X38" s="879"/>
    </row>
    <row r="39" spans="3:24" x14ac:dyDescent="0.35">
      <c r="C39" s="280"/>
      <c r="D39" s="149" t="s">
        <v>471</v>
      </c>
      <c r="E39" s="53"/>
      <c r="F39" s="53"/>
      <c r="G39" s="151">
        <f>(G17+G22+G24+G28)*G40</f>
        <v>0</v>
      </c>
      <c r="H39" s="676"/>
      <c r="I39" s="151">
        <f>(I17+I22+I24+I28)*I40</f>
        <v>0</v>
      </c>
      <c r="J39" s="676"/>
      <c r="K39" s="151">
        <f>(K17+K22+K24+K28)*K40</f>
        <v>0</v>
      </c>
      <c r="L39" s="676"/>
      <c r="M39" s="151">
        <f>(M17+M22+M24+M28)*M40</f>
        <v>0</v>
      </c>
      <c r="N39" s="683"/>
      <c r="P39" s="51"/>
      <c r="U39" s="878"/>
      <c r="V39" s="878"/>
      <c r="W39" s="878"/>
      <c r="X39" s="879"/>
    </row>
    <row r="40" spans="3:24" x14ac:dyDescent="0.35">
      <c r="C40" s="280"/>
      <c r="D40" s="144" t="s">
        <v>472</v>
      </c>
      <c r="E40" s="53"/>
      <c r="F40" s="53"/>
      <c r="G40" s="908">
        <v>2.7900000000000001E-2</v>
      </c>
      <c r="H40" s="676"/>
      <c r="I40" s="908">
        <f>G40</f>
        <v>2.7900000000000001E-2</v>
      </c>
      <c r="J40" s="676"/>
      <c r="K40" s="908">
        <f>I40</f>
        <v>2.7900000000000001E-2</v>
      </c>
      <c r="L40" s="676"/>
      <c r="M40" s="908">
        <f>K40</f>
        <v>2.7900000000000001E-2</v>
      </c>
      <c r="N40" s="683"/>
      <c r="P40" s="753"/>
      <c r="R40" s="129"/>
      <c r="U40" s="878"/>
      <c r="V40" s="878"/>
      <c r="W40" s="878"/>
      <c r="X40" s="879"/>
    </row>
    <row r="41" spans="3:24" x14ac:dyDescent="0.35">
      <c r="C41" s="280"/>
      <c r="D41" s="149" t="s">
        <v>473</v>
      </c>
      <c r="E41" s="53"/>
      <c r="F41" s="53"/>
      <c r="G41" s="151">
        <f>(G35*0.017)+(G35*0.0187)</f>
        <v>0</v>
      </c>
      <c r="H41" s="676"/>
      <c r="I41" s="151">
        <f>(I35*0.017)+(I35*0.0187)</f>
        <v>0</v>
      </c>
      <c r="J41" s="676"/>
      <c r="K41" s="151">
        <f>(K35*0.017)+(K35*0.0187)</f>
        <v>0</v>
      </c>
      <c r="L41" s="676"/>
      <c r="M41" s="151">
        <f>(M35*0.017)+(M35*0.0187)</f>
        <v>0</v>
      </c>
      <c r="N41" s="683"/>
      <c r="P41" s="51"/>
      <c r="U41" s="878"/>
      <c r="V41" s="878"/>
      <c r="W41" s="878"/>
      <c r="X41" s="879"/>
    </row>
    <row r="42" spans="3:24" x14ac:dyDescent="0.35">
      <c r="C42" s="280"/>
      <c r="D42" s="149" t="s">
        <v>474</v>
      </c>
      <c r="E42" s="53"/>
      <c r="F42" s="53"/>
      <c r="G42" s="949">
        <f>0.008*('4 LAINAT'!D19+'4 LAINAT'!G40)</f>
        <v>0</v>
      </c>
      <c r="H42" s="676"/>
      <c r="I42" s="949">
        <f>G42+G42*Q42</f>
        <v>0</v>
      </c>
      <c r="J42" s="676"/>
      <c r="K42" s="949">
        <f>I42+I42*R42</f>
        <v>0</v>
      </c>
      <c r="L42" s="676"/>
      <c r="M42" s="949">
        <f>K42+K42*S42</f>
        <v>0</v>
      </c>
      <c r="N42" s="683"/>
      <c r="P42" s="714"/>
      <c r="Q42" s="896">
        <v>0.03</v>
      </c>
      <c r="R42" s="896">
        <v>0.03</v>
      </c>
      <c r="S42" s="896">
        <v>0.03</v>
      </c>
      <c r="U42" s="878"/>
      <c r="V42" s="878"/>
      <c r="W42" s="878"/>
      <c r="X42" s="879"/>
    </row>
    <row r="43" spans="3:24" ht="15" thickBot="1" x14ac:dyDescent="0.4">
      <c r="C43" s="280"/>
      <c r="D43" s="212" t="s">
        <v>475</v>
      </c>
      <c r="E43" s="207"/>
      <c r="F43" s="207"/>
      <c r="G43" s="948"/>
      <c r="H43" s="715"/>
      <c r="I43" s="902">
        <f>G43+G43*Q43</f>
        <v>0</v>
      </c>
      <c r="J43" s="715"/>
      <c r="K43" s="902">
        <f>I43+I43*R43</f>
        <v>0</v>
      </c>
      <c r="L43" s="715"/>
      <c r="M43" s="902">
        <f>K43+K43*S43</f>
        <v>0</v>
      </c>
      <c r="N43" s="716"/>
      <c r="P43" s="714"/>
      <c r="Q43" s="896">
        <v>0.03</v>
      </c>
      <c r="R43" s="896">
        <v>0.03</v>
      </c>
      <c r="S43" s="896">
        <v>0.03</v>
      </c>
      <c r="U43" s="878"/>
      <c r="V43" s="878"/>
      <c r="W43" s="878"/>
      <c r="X43" s="879"/>
    </row>
    <row r="44" spans="3:24" ht="15" thickBot="1" x14ac:dyDescent="0.4">
      <c r="C44" s="280"/>
      <c r="D44" s="211" t="s">
        <v>476</v>
      </c>
      <c r="E44" s="291"/>
      <c r="F44" s="291"/>
      <c r="G44" s="266">
        <f>G11+G31</f>
        <v>0</v>
      </c>
      <c r="H44" s="292">
        <f>IF(G$44=0,0,G44/G$44*100)</f>
        <v>0</v>
      </c>
      <c r="I44" s="266">
        <f>I11+I31</f>
        <v>0</v>
      </c>
      <c r="J44" s="292">
        <f>IF(I$44=0,0,I44/I$44*100)</f>
        <v>0</v>
      </c>
      <c r="K44" s="266">
        <f>K11+K31</f>
        <v>0</v>
      </c>
      <c r="L44" s="292">
        <f>IF(K$44=0,0,K44/K$44*100)</f>
        <v>0</v>
      </c>
      <c r="M44" s="266">
        <f>M11+M31</f>
        <v>0</v>
      </c>
      <c r="N44" s="293">
        <f>IF(M$44=0,0,M44/M$44*100)</f>
        <v>0</v>
      </c>
      <c r="P44" s="51"/>
      <c r="U44" s="878"/>
      <c r="V44" s="878"/>
      <c r="W44" s="878"/>
      <c r="X44" s="879"/>
    </row>
    <row r="45" spans="3:24" x14ac:dyDescent="0.35">
      <c r="C45" s="281" t="s">
        <v>277</v>
      </c>
      <c r="D45" s="148" t="s">
        <v>477</v>
      </c>
      <c r="E45" s="152">
        <f>E46+E52+E63+E69+E74+E79+E83+E86+E87+E88+E94+E99+E104+E108+E113+E117+E118+E119+E120+E121+E122+E123+E124</f>
        <v>0</v>
      </c>
      <c r="F45" s="208">
        <f>IF(E$45=0,0,E45/E$45*100)</f>
        <v>0</v>
      </c>
      <c r="G45" s="152">
        <f>G46+G52+G63+G69+G74+G79+G83+G86+G87+G88+G94+G99+G104+G108+G113+G117+G118+G119+G120+G121+G122+G123+G124</f>
        <v>0</v>
      </c>
      <c r="H45" s="208">
        <f>IF(G$45=0,0,G45/G$45*100)</f>
        <v>0</v>
      </c>
      <c r="I45" s="152">
        <f>I46+I52+I63+I69+I74+I79+I83+I86+I87+I88+I94+I99+I104+I108+I113+I117+I118+I119+I120+I121+I122+I123+I124</f>
        <v>0</v>
      </c>
      <c r="J45" s="208">
        <f>IF(I$45=0,0,I45/I$45*100)</f>
        <v>0</v>
      </c>
      <c r="K45" s="152">
        <f>K46+K52+K63+K69+K74+K79+K83+K86+K87+K88+K94+K99+K104+K108+K113+K117+K118+K119+K120+K121+K122+K123+K124</f>
        <v>0</v>
      </c>
      <c r="L45" s="208">
        <f>IF(K$45=0,0,K45/K$45*100)</f>
        <v>0</v>
      </c>
      <c r="M45" s="152">
        <f>M46+M52+M63+M69+M74+M79+M83+M86+M87+M88+M94+M99+M104+M108+M113+M117+M118+M119+M120+M121+M122+M123+M124</f>
        <v>0</v>
      </c>
      <c r="N45" s="279">
        <f>IF(M$45=0,0,M45/M$45*100)</f>
        <v>0</v>
      </c>
      <c r="P45" s="51"/>
      <c r="U45" s="878"/>
      <c r="V45" s="878"/>
      <c r="W45" s="878"/>
      <c r="X45" s="879"/>
    </row>
    <row r="46" spans="3:24" x14ac:dyDescent="0.35">
      <c r="C46" s="280"/>
      <c r="D46" s="149" t="s">
        <v>478</v>
      </c>
      <c r="E46" s="151">
        <f>SUM(E47:E51)</f>
        <v>0</v>
      </c>
      <c r="F46" s="566">
        <f>IF(E$45=0,0,100*E46/E$45)</f>
        <v>0</v>
      </c>
      <c r="G46" s="151">
        <f>SUM(G47:G51)</f>
        <v>0</v>
      </c>
      <c r="H46" s="566">
        <f>IF(G$45=0,0,100*G46/G$45)</f>
        <v>0</v>
      </c>
      <c r="I46" s="151">
        <f>SUM(I47:I51)</f>
        <v>0</v>
      </c>
      <c r="J46" s="566">
        <f>IF(I$45=0,0,100*I46/I$45)</f>
        <v>0</v>
      </c>
      <c r="K46" s="151">
        <f>SUM(K47:K51)</f>
        <v>0</v>
      </c>
      <c r="L46" s="566">
        <f>IF(K$45=0,0,100*K46/K$45)</f>
        <v>0</v>
      </c>
      <c r="M46" s="151">
        <f>SUM(M47:M51)</f>
        <v>0</v>
      </c>
      <c r="N46" s="571">
        <f>IF(M$45=0,0,100*M46/M$45)</f>
        <v>0</v>
      </c>
      <c r="P46" s="51"/>
      <c r="U46" s="878"/>
      <c r="V46" s="878"/>
      <c r="W46" s="878"/>
      <c r="X46" s="879"/>
    </row>
    <row r="47" spans="3:24" x14ac:dyDescent="0.35">
      <c r="C47" s="280"/>
      <c r="D47" s="144" t="s">
        <v>479</v>
      </c>
      <c r="E47" s="864"/>
      <c r="F47" s="676"/>
      <c r="G47" s="864">
        <f>E47+E47*P47</f>
        <v>0</v>
      </c>
      <c r="H47" s="676"/>
      <c r="I47" s="864">
        <f>G47+G47*Q47</f>
        <v>0</v>
      </c>
      <c r="J47" s="676"/>
      <c r="K47" s="864">
        <f>I47+I47*R47</f>
        <v>0</v>
      </c>
      <c r="L47" s="676"/>
      <c r="M47" s="864">
        <f>K47+K47*S47</f>
        <v>0</v>
      </c>
      <c r="N47" s="683"/>
      <c r="P47" s="896">
        <v>0.03</v>
      </c>
      <c r="Q47" s="896">
        <v>0.03</v>
      </c>
      <c r="R47" s="896">
        <v>0.03</v>
      </c>
      <c r="S47" s="896">
        <v>0.03</v>
      </c>
      <c r="U47" s="878"/>
      <c r="V47" s="878"/>
      <c r="W47" s="878"/>
      <c r="X47" s="879"/>
    </row>
    <row r="48" spans="3:24" x14ac:dyDescent="0.35">
      <c r="C48" s="280"/>
      <c r="D48" s="144" t="s">
        <v>480</v>
      </c>
      <c r="E48" s="864"/>
      <c r="F48" s="676"/>
      <c r="G48" s="864">
        <f t="shared" ref="G48:G51" si="0">E48+E48*P48</f>
        <v>0</v>
      </c>
      <c r="H48" s="676"/>
      <c r="I48" s="864">
        <f t="shared" ref="I48:I51" si="1">G48+G48*Q48</f>
        <v>0</v>
      </c>
      <c r="J48" s="676"/>
      <c r="K48" s="864">
        <f t="shared" ref="K48:K51" si="2">I48+I48*R48</f>
        <v>0</v>
      </c>
      <c r="L48" s="676"/>
      <c r="M48" s="864">
        <f t="shared" ref="M48:M51" si="3">K48+K48*S48</f>
        <v>0</v>
      </c>
      <c r="N48" s="683"/>
      <c r="P48" s="896">
        <v>0.03</v>
      </c>
      <c r="Q48" s="896">
        <v>0.03</v>
      </c>
      <c r="R48" s="896">
        <v>0.03</v>
      </c>
      <c r="S48" s="896">
        <v>0.03</v>
      </c>
      <c r="U48" s="878"/>
      <c r="V48" s="878"/>
      <c r="W48" s="878"/>
      <c r="X48" s="879"/>
    </row>
    <row r="49" spans="3:24" x14ac:dyDescent="0.35">
      <c r="C49" s="280"/>
      <c r="D49" s="144" t="s">
        <v>481</v>
      </c>
      <c r="E49" s="864"/>
      <c r="F49" s="676"/>
      <c r="G49" s="864">
        <f t="shared" si="0"/>
        <v>0</v>
      </c>
      <c r="H49" s="676"/>
      <c r="I49" s="864">
        <f t="shared" si="1"/>
        <v>0</v>
      </c>
      <c r="J49" s="676"/>
      <c r="K49" s="864">
        <f t="shared" si="2"/>
        <v>0</v>
      </c>
      <c r="L49" s="676"/>
      <c r="M49" s="864">
        <f t="shared" si="3"/>
        <v>0</v>
      </c>
      <c r="N49" s="683"/>
      <c r="P49" s="896">
        <v>0.03</v>
      </c>
      <c r="Q49" s="896">
        <v>0.03</v>
      </c>
      <c r="R49" s="896">
        <v>0.03</v>
      </c>
      <c r="S49" s="896">
        <v>0.03</v>
      </c>
      <c r="U49" s="878"/>
      <c r="V49" s="878"/>
      <c r="W49" s="878"/>
      <c r="X49" s="879"/>
    </row>
    <row r="50" spans="3:24" x14ac:dyDescent="0.35">
      <c r="C50" s="280"/>
      <c r="D50" s="144" t="s">
        <v>482</v>
      </c>
      <c r="E50" s="864"/>
      <c r="F50" s="676"/>
      <c r="G50" s="864">
        <f t="shared" si="0"/>
        <v>0</v>
      </c>
      <c r="H50" s="676"/>
      <c r="I50" s="864">
        <f t="shared" si="1"/>
        <v>0</v>
      </c>
      <c r="J50" s="676"/>
      <c r="K50" s="864">
        <f t="shared" si="2"/>
        <v>0</v>
      </c>
      <c r="L50" s="676"/>
      <c r="M50" s="864">
        <f t="shared" si="3"/>
        <v>0</v>
      </c>
      <c r="N50" s="683"/>
      <c r="P50" s="896">
        <v>0.03</v>
      </c>
      <c r="Q50" s="896">
        <v>0.03</v>
      </c>
      <c r="R50" s="896">
        <v>0.03</v>
      </c>
      <c r="S50" s="896">
        <v>0.03</v>
      </c>
      <c r="U50" s="878"/>
      <c r="V50" s="878"/>
      <c r="W50" s="878"/>
      <c r="X50" s="879"/>
    </row>
    <row r="51" spans="3:24" ht="15" thickBot="1" x14ac:dyDescent="0.4">
      <c r="C51" s="280"/>
      <c r="D51" s="206" t="s">
        <v>483</v>
      </c>
      <c r="E51" s="902"/>
      <c r="F51" s="715"/>
      <c r="G51" s="902">
        <f t="shared" si="0"/>
        <v>0</v>
      </c>
      <c r="H51" s="715"/>
      <c r="I51" s="902">
        <f t="shared" si="1"/>
        <v>0</v>
      </c>
      <c r="J51" s="715"/>
      <c r="K51" s="902">
        <f t="shared" si="2"/>
        <v>0</v>
      </c>
      <c r="L51" s="715"/>
      <c r="M51" s="902">
        <f t="shared" si="3"/>
        <v>0</v>
      </c>
      <c r="N51" s="716"/>
      <c r="P51" s="896">
        <v>0.03</v>
      </c>
      <c r="Q51" s="896">
        <v>0.03</v>
      </c>
      <c r="R51" s="896">
        <v>0.03</v>
      </c>
      <c r="S51" s="896">
        <v>0.03</v>
      </c>
      <c r="U51" s="878"/>
      <c r="V51" s="878"/>
      <c r="W51" s="878"/>
      <c r="X51" s="879"/>
    </row>
    <row r="52" spans="3:24" x14ac:dyDescent="0.35">
      <c r="C52" s="280"/>
      <c r="D52" s="148" t="s">
        <v>484</v>
      </c>
      <c r="E52" s="209">
        <f>SUM(E53:E62)</f>
        <v>0</v>
      </c>
      <c r="F52" s="566">
        <f>IF(E$45=0,0,100*E52/E$45)</f>
        <v>0</v>
      </c>
      <c r="G52" s="209">
        <f>SUM(G53:G62)</f>
        <v>0</v>
      </c>
      <c r="H52" s="566">
        <f>IF(G$45=0,0,100*G52/G$45)</f>
        <v>0</v>
      </c>
      <c r="I52" s="209">
        <f>SUM(I53:I62)</f>
        <v>0</v>
      </c>
      <c r="J52" s="566">
        <f>IF(I$45=0,0,100*I52/I$45)</f>
        <v>0</v>
      </c>
      <c r="K52" s="209">
        <f>SUM(K53:K62)</f>
        <v>0</v>
      </c>
      <c r="L52" s="566">
        <f>IF(K$45=0,0,100*K52/K$45)</f>
        <v>0</v>
      </c>
      <c r="M52" s="209">
        <f>SUM(M53:M62)</f>
        <v>0</v>
      </c>
      <c r="N52" s="571">
        <f>IF(M$45=0,0,100*M52/M$45)</f>
        <v>0</v>
      </c>
      <c r="P52" s="51"/>
      <c r="U52" s="878"/>
      <c r="V52" s="878"/>
      <c r="W52" s="878"/>
      <c r="X52" s="879"/>
    </row>
    <row r="53" spans="3:24" x14ac:dyDescent="0.35">
      <c r="C53" s="280"/>
      <c r="D53" s="144" t="s">
        <v>485</v>
      </c>
      <c r="E53" s="864"/>
      <c r="F53" s="676"/>
      <c r="G53" s="864">
        <f>E53+E53*P53</f>
        <v>0</v>
      </c>
      <c r="H53" s="676"/>
      <c r="I53" s="864">
        <f t="shared" ref="I53:I62" si="4">G53+G53*Q53</f>
        <v>0</v>
      </c>
      <c r="J53" s="676"/>
      <c r="K53" s="864">
        <f t="shared" ref="K53:K62" si="5">I53+I53*R53</f>
        <v>0</v>
      </c>
      <c r="L53" s="676"/>
      <c r="M53" s="864">
        <f>K53+K53*S53</f>
        <v>0</v>
      </c>
      <c r="N53" s="683"/>
      <c r="P53" s="896">
        <v>0.03</v>
      </c>
      <c r="Q53" s="896">
        <v>0.03</v>
      </c>
      <c r="R53" s="896">
        <v>0.03</v>
      </c>
      <c r="S53" s="896">
        <v>0.03</v>
      </c>
      <c r="U53" s="878"/>
      <c r="V53" s="878"/>
      <c r="W53" s="878"/>
      <c r="X53" s="879"/>
    </row>
    <row r="54" spans="3:24" x14ac:dyDescent="0.35">
      <c r="C54" s="280"/>
      <c r="D54" s="144" t="s">
        <v>486</v>
      </c>
      <c r="E54" s="864"/>
      <c r="F54" s="676"/>
      <c r="G54" s="864">
        <f t="shared" ref="G54:G62" si="6">E54+E54*P54</f>
        <v>0</v>
      </c>
      <c r="H54" s="676"/>
      <c r="I54" s="864">
        <f t="shared" si="4"/>
        <v>0</v>
      </c>
      <c r="J54" s="676"/>
      <c r="K54" s="864">
        <f t="shared" si="5"/>
        <v>0</v>
      </c>
      <c r="L54" s="676"/>
      <c r="M54" s="864">
        <f t="shared" ref="M54:M62" si="7">K54+K54*S54</f>
        <v>0</v>
      </c>
      <c r="N54" s="683"/>
      <c r="P54" s="896">
        <v>0.03</v>
      </c>
      <c r="Q54" s="896">
        <v>0.03</v>
      </c>
      <c r="R54" s="896">
        <v>0.03</v>
      </c>
      <c r="S54" s="896">
        <v>0.03</v>
      </c>
      <c r="U54" s="878"/>
      <c r="V54" s="878"/>
      <c r="W54" s="878"/>
      <c r="X54" s="879"/>
    </row>
    <row r="55" spans="3:24" x14ac:dyDescent="0.35">
      <c r="C55" s="280"/>
      <c r="D55" s="144" t="s">
        <v>487</v>
      </c>
      <c r="E55" s="864"/>
      <c r="F55" s="676"/>
      <c r="G55" s="864">
        <f t="shared" si="6"/>
        <v>0</v>
      </c>
      <c r="H55" s="676"/>
      <c r="I55" s="864">
        <f t="shared" si="4"/>
        <v>0</v>
      </c>
      <c r="J55" s="676"/>
      <c r="K55" s="864">
        <f t="shared" si="5"/>
        <v>0</v>
      </c>
      <c r="L55" s="676"/>
      <c r="M55" s="864">
        <f t="shared" si="7"/>
        <v>0</v>
      </c>
      <c r="N55" s="683"/>
      <c r="P55" s="896">
        <v>0.03</v>
      </c>
      <c r="Q55" s="896">
        <v>0.03</v>
      </c>
      <c r="R55" s="896">
        <v>0.03</v>
      </c>
      <c r="S55" s="896">
        <v>0.03</v>
      </c>
      <c r="U55" s="878"/>
      <c r="V55" s="878"/>
      <c r="W55" s="878"/>
      <c r="X55" s="879"/>
    </row>
    <row r="56" spans="3:24" x14ac:dyDescent="0.35">
      <c r="C56" s="280"/>
      <c r="D56" s="144" t="s">
        <v>488</v>
      </c>
      <c r="E56" s="864"/>
      <c r="F56" s="676"/>
      <c r="G56" s="864">
        <f t="shared" si="6"/>
        <v>0</v>
      </c>
      <c r="H56" s="676"/>
      <c r="I56" s="864">
        <f t="shared" si="4"/>
        <v>0</v>
      </c>
      <c r="J56" s="676"/>
      <c r="K56" s="864">
        <f t="shared" si="5"/>
        <v>0</v>
      </c>
      <c r="L56" s="676"/>
      <c r="M56" s="864">
        <f t="shared" si="7"/>
        <v>0</v>
      </c>
      <c r="N56" s="683"/>
      <c r="P56" s="896">
        <v>0.03</v>
      </c>
      <c r="Q56" s="896">
        <v>0.03</v>
      </c>
      <c r="R56" s="896">
        <v>0.03</v>
      </c>
      <c r="S56" s="896">
        <v>0.03</v>
      </c>
      <c r="U56" s="878"/>
      <c r="V56" s="878"/>
      <c r="W56" s="878"/>
      <c r="X56" s="879"/>
    </row>
    <row r="57" spans="3:24" x14ac:dyDescent="0.35">
      <c r="C57" s="280"/>
      <c r="D57" s="144" t="s">
        <v>489</v>
      </c>
      <c r="E57" s="864"/>
      <c r="F57" s="676"/>
      <c r="G57" s="864">
        <f t="shared" si="6"/>
        <v>0</v>
      </c>
      <c r="H57" s="676"/>
      <c r="I57" s="864">
        <f t="shared" si="4"/>
        <v>0</v>
      </c>
      <c r="J57" s="676"/>
      <c r="K57" s="864">
        <f t="shared" si="5"/>
        <v>0</v>
      </c>
      <c r="L57" s="676"/>
      <c r="M57" s="864">
        <f t="shared" si="7"/>
        <v>0</v>
      </c>
      <c r="N57" s="683"/>
      <c r="P57" s="896">
        <v>0.03</v>
      </c>
      <c r="Q57" s="896">
        <v>0.03</v>
      </c>
      <c r="R57" s="896">
        <v>0.03</v>
      </c>
      <c r="S57" s="896">
        <v>0.03</v>
      </c>
      <c r="U57" s="878"/>
      <c r="V57" s="878"/>
      <c r="W57" s="878"/>
      <c r="X57" s="879"/>
    </row>
    <row r="58" spans="3:24" x14ac:dyDescent="0.35">
      <c r="C58" s="280"/>
      <c r="D58" s="144" t="s">
        <v>490</v>
      </c>
      <c r="E58" s="864"/>
      <c r="F58" s="676"/>
      <c r="G58" s="864">
        <f t="shared" si="6"/>
        <v>0</v>
      </c>
      <c r="H58" s="676"/>
      <c r="I58" s="864">
        <f t="shared" si="4"/>
        <v>0</v>
      </c>
      <c r="J58" s="676"/>
      <c r="K58" s="864">
        <f t="shared" si="5"/>
        <v>0</v>
      </c>
      <c r="L58" s="676"/>
      <c r="M58" s="864">
        <f t="shared" si="7"/>
        <v>0</v>
      </c>
      <c r="N58" s="683"/>
      <c r="P58" s="896">
        <v>0.03</v>
      </c>
      <c r="Q58" s="896">
        <v>0.03</v>
      </c>
      <c r="R58" s="896">
        <v>0.03</v>
      </c>
      <c r="S58" s="896">
        <v>0.03</v>
      </c>
      <c r="U58" s="878"/>
      <c r="V58" s="878"/>
      <c r="W58" s="878"/>
      <c r="X58" s="879"/>
    </row>
    <row r="59" spans="3:24" x14ac:dyDescent="0.35">
      <c r="C59" s="280"/>
      <c r="D59" s="144" t="s">
        <v>491</v>
      </c>
      <c r="E59" s="864"/>
      <c r="F59" s="676"/>
      <c r="G59" s="864">
        <f t="shared" si="6"/>
        <v>0</v>
      </c>
      <c r="H59" s="676"/>
      <c r="I59" s="864">
        <f t="shared" si="4"/>
        <v>0</v>
      </c>
      <c r="J59" s="676"/>
      <c r="K59" s="864">
        <f t="shared" si="5"/>
        <v>0</v>
      </c>
      <c r="L59" s="676"/>
      <c r="M59" s="864">
        <f t="shared" si="7"/>
        <v>0</v>
      </c>
      <c r="N59" s="683"/>
      <c r="P59" s="896">
        <v>0.03</v>
      </c>
      <c r="Q59" s="896">
        <v>0.03</v>
      </c>
      <c r="R59" s="896">
        <v>0.03</v>
      </c>
      <c r="S59" s="896">
        <v>0.03</v>
      </c>
      <c r="U59" s="878"/>
      <c r="V59" s="878"/>
      <c r="W59" s="878"/>
      <c r="X59" s="879"/>
    </row>
    <row r="60" spans="3:24" x14ac:dyDescent="0.35">
      <c r="C60" s="280"/>
      <c r="D60" s="144" t="s">
        <v>492</v>
      </c>
      <c r="E60" s="864"/>
      <c r="F60" s="676"/>
      <c r="G60" s="864">
        <f>E60+E60*P60</f>
        <v>0</v>
      </c>
      <c r="H60" s="676"/>
      <c r="I60" s="864">
        <f t="shared" si="4"/>
        <v>0</v>
      </c>
      <c r="J60" s="676"/>
      <c r="K60" s="864">
        <f t="shared" si="5"/>
        <v>0</v>
      </c>
      <c r="L60" s="676"/>
      <c r="M60" s="864">
        <f t="shared" si="7"/>
        <v>0</v>
      </c>
      <c r="N60" s="683"/>
      <c r="P60" s="896">
        <v>0.03</v>
      </c>
      <c r="Q60" s="896">
        <v>0.03</v>
      </c>
      <c r="R60" s="896">
        <v>0.03</v>
      </c>
      <c r="S60" s="896">
        <v>0.03</v>
      </c>
      <c r="U60" s="878"/>
      <c r="V60" s="878"/>
      <c r="W60" s="878"/>
      <c r="X60" s="879"/>
    </row>
    <row r="61" spans="3:24" x14ac:dyDescent="0.35">
      <c r="C61" s="280"/>
      <c r="D61" s="144" t="s">
        <v>493</v>
      </c>
      <c r="E61" s="864"/>
      <c r="F61" s="676"/>
      <c r="G61" s="864">
        <f>E61+E61*P61</f>
        <v>0</v>
      </c>
      <c r="H61" s="676"/>
      <c r="I61" s="864">
        <f t="shared" si="4"/>
        <v>0</v>
      </c>
      <c r="J61" s="676"/>
      <c r="K61" s="864">
        <f t="shared" si="5"/>
        <v>0</v>
      </c>
      <c r="L61" s="676"/>
      <c r="M61" s="864">
        <f t="shared" si="7"/>
        <v>0</v>
      </c>
      <c r="N61" s="683"/>
      <c r="P61" s="896">
        <v>0.03</v>
      </c>
      <c r="Q61" s="896">
        <v>0.03</v>
      </c>
      <c r="R61" s="896">
        <v>0.03</v>
      </c>
      <c r="S61" s="896">
        <v>0.03</v>
      </c>
      <c r="U61" s="878"/>
      <c r="V61" s="878"/>
      <c r="W61" s="878"/>
      <c r="X61" s="879"/>
    </row>
    <row r="62" spans="3:24" ht="15" thickBot="1" x14ac:dyDescent="0.4">
      <c r="C62" s="280"/>
      <c r="D62" s="206" t="s">
        <v>494</v>
      </c>
      <c r="E62" s="902"/>
      <c r="F62" s="715"/>
      <c r="G62" s="902">
        <f t="shared" si="6"/>
        <v>0</v>
      </c>
      <c r="H62" s="715"/>
      <c r="I62" s="902">
        <f t="shared" si="4"/>
        <v>0</v>
      </c>
      <c r="J62" s="715"/>
      <c r="K62" s="902">
        <f t="shared" si="5"/>
        <v>0</v>
      </c>
      <c r="L62" s="715"/>
      <c r="M62" s="902">
        <f t="shared" si="7"/>
        <v>0</v>
      </c>
      <c r="N62" s="716"/>
      <c r="P62" s="896">
        <v>0.03</v>
      </c>
      <c r="Q62" s="896">
        <v>0.03</v>
      </c>
      <c r="R62" s="896">
        <v>0.03</v>
      </c>
      <c r="S62" s="896">
        <v>0.03</v>
      </c>
      <c r="U62" s="878"/>
      <c r="V62" s="878"/>
      <c r="W62" s="878"/>
      <c r="X62" s="879"/>
    </row>
    <row r="63" spans="3:24" x14ac:dyDescent="0.35">
      <c r="C63" s="280"/>
      <c r="D63" s="148" t="s">
        <v>495</v>
      </c>
      <c r="E63" s="209">
        <f>SUM(E64:E68)</f>
        <v>0</v>
      </c>
      <c r="F63" s="566">
        <f>IF(E$45=0,0,100*E63/E$45)</f>
        <v>0</v>
      </c>
      <c r="G63" s="209">
        <f>SUM(G64:G68)</f>
        <v>0</v>
      </c>
      <c r="H63" s="566">
        <f>IF(G$45=0,0,100*G63/G$45)</f>
        <v>0</v>
      </c>
      <c r="I63" s="209">
        <f>SUM(I64:I68)</f>
        <v>0</v>
      </c>
      <c r="J63" s="566">
        <f>IF(I$45=0,0,100*I63/I$45)</f>
        <v>0</v>
      </c>
      <c r="K63" s="209">
        <f>SUM(K64:K68)</f>
        <v>0</v>
      </c>
      <c r="L63" s="566">
        <f>IF(K$45=0,0,100*K63/K$45)</f>
        <v>0</v>
      </c>
      <c r="M63" s="209">
        <f>SUM(M64:M68)</f>
        <v>0</v>
      </c>
      <c r="N63" s="571">
        <f>IF(M$45=0,0,100*M63/M$45)</f>
        <v>0</v>
      </c>
      <c r="P63" s="51"/>
      <c r="U63" s="878"/>
      <c r="V63" s="878"/>
      <c r="W63" s="878"/>
      <c r="X63" s="879"/>
    </row>
    <row r="64" spans="3:24" x14ac:dyDescent="0.35">
      <c r="C64" s="280"/>
      <c r="D64" s="144" t="s">
        <v>496</v>
      </c>
      <c r="E64" s="864"/>
      <c r="F64" s="676"/>
      <c r="G64" s="864">
        <f>E64+E64*P64</f>
        <v>0</v>
      </c>
      <c r="H64" s="676"/>
      <c r="I64" s="864">
        <f>G64+G64*Q64</f>
        <v>0</v>
      </c>
      <c r="J64" s="676"/>
      <c r="K64" s="864">
        <f>I64+I64*R64</f>
        <v>0</v>
      </c>
      <c r="L64" s="676"/>
      <c r="M64" s="864">
        <f>K64+K64*S64</f>
        <v>0</v>
      </c>
      <c r="N64" s="683"/>
      <c r="P64" s="896">
        <v>0.03</v>
      </c>
      <c r="Q64" s="896">
        <v>0.03</v>
      </c>
      <c r="R64" s="896">
        <v>0.03</v>
      </c>
      <c r="S64" s="896">
        <v>0.03</v>
      </c>
      <c r="U64" s="878"/>
      <c r="V64" s="878"/>
      <c r="W64" s="878"/>
      <c r="X64" s="879"/>
    </row>
    <row r="65" spans="3:24" x14ac:dyDescent="0.35">
      <c r="C65" s="280"/>
      <c r="D65" s="144" t="s">
        <v>497</v>
      </c>
      <c r="E65" s="864"/>
      <c r="F65" s="676"/>
      <c r="G65" s="864">
        <f t="shared" ref="G65:G68" si="8">E65+E65*P65</f>
        <v>0</v>
      </c>
      <c r="H65" s="676"/>
      <c r="I65" s="864">
        <f t="shared" ref="I65:I68" si="9">G65+G65*Q65</f>
        <v>0</v>
      </c>
      <c r="J65" s="676"/>
      <c r="K65" s="864">
        <f t="shared" ref="K65:K68" si="10">I65+I65*R65</f>
        <v>0</v>
      </c>
      <c r="L65" s="676"/>
      <c r="M65" s="864">
        <f t="shared" ref="M65:M68" si="11">K65+K65*S65</f>
        <v>0</v>
      </c>
      <c r="N65" s="683"/>
      <c r="P65" s="896">
        <v>0.03</v>
      </c>
      <c r="Q65" s="896">
        <v>0.03</v>
      </c>
      <c r="R65" s="896">
        <v>0.03</v>
      </c>
      <c r="S65" s="896">
        <v>0.03</v>
      </c>
      <c r="U65" s="878"/>
      <c r="V65" s="878"/>
      <c r="W65" s="878"/>
      <c r="X65" s="879"/>
    </row>
    <row r="66" spans="3:24" x14ac:dyDescent="0.35">
      <c r="C66" s="280"/>
      <c r="D66" s="144" t="s">
        <v>498</v>
      </c>
      <c r="E66" s="864"/>
      <c r="F66" s="676"/>
      <c r="G66" s="864">
        <f t="shared" si="8"/>
        <v>0</v>
      </c>
      <c r="H66" s="676"/>
      <c r="I66" s="864">
        <f t="shared" si="9"/>
        <v>0</v>
      </c>
      <c r="J66" s="676"/>
      <c r="K66" s="864">
        <f t="shared" si="10"/>
        <v>0</v>
      </c>
      <c r="L66" s="676"/>
      <c r="M66" s="864">
        <f t="shared" si="11"/>
        <v>0</v>
      </c>
      <c r="N66" s="683"/>
      <c r="P66" s="896">
        <v>0.03</v>
      </c>
      <c r="Q66" s="896">
        <v>0.03</v>
      </c>
      <c r="R66" s="896">
        <v>0.03</v>
      </c>
      <c r="S66" s="896">
        <v>0.03</v>
      </c>
      <c r="U66" s="878"/>
      <c r="V66" s="878"/>
      <c r="W66" s="878"/>
      <c r="X66" s="879"/>
    </row>
    <row r="67" spans="3:24" x14ac:dyDescent="0.35">
      <c r="C67" s="280"/>
      <c r="D67" s="144" t="s">
        <v>499</v>
      </c>
      <c r="E67" s="864"/>
      <c r="F67" s="676"/>
      <c r="G67" s="864">
        <f t="shared" si="8"/>
        <v>0</v>
      </c>
      <c r="H67" s="676"/>
      <c r="I67" s="864">
        <f t="shared" si="9"/>
        <v>0</v>
      </c>
      <c r="J67" s="676"/>
      <c r="K67" s="864">
        <f t="shared" si="10"/>
        <v>0</v>
      </c>
      <c r="L67" s="676"/>
      <c r="M67" s="864">
        <f t="shared" si="11"/>
        <v>0</v>
      </c>
      <c r="N67" s="683"/>
      <c r="P67" s="896">
        <v>0.03</v>
      </c>
      <c r="Q67" s="896">
        <v>0.03</v>
      </c>
      <c r="R67" s="896">
        <v>0.03</v>
      </c>
      <c r="S67" s="896">
        <v>0.03</v>
      </c>
      <c r="U67" s="878"/>
      <c r="V67" s="878"/>
      <c r="W67" s="878"/>
      <c r="X67" s="879"/>
    </row>
    <row r="68" spans="3:24" ht="15" thickBot="1" x14ac:dyDescent="0.4">
      <c r="C68" s="280"/>
      <c r="D68" s="206" t="s">
        <v>500</v>
      </c>
      <c r="E68" s="902"/>
      <c r="F68" s="715"/>
      <c r="G68" s="902">
        <f t="shared" si="8"/>
        <v>0</v>
      </c>
      <c r="H68" s="715"/>
      <c r="I68" s="902">
        <f t="shared" si="9"/>
        <v>0</v>
      </c>
      <c r="J68" s="715"/>
      <c r="K68" s="902">
        <f t="shared" si="10"/>
        <v>0</v>
      </c>
      <c r="L68" s="715"/>
      <c r="M68" s="902">
        <f t="shared" si="11"/>
        <v>0</v>
      </c>
      <c r="N68" s="716"/>
      <c r="P68" s="896">
        <v>0.03</v>
      </c>
      <c r="Q68" s="896">
        <v>0.03</v>
      </c>
      <c r="R68" s="896">
        <v>0.03</v>
      </c>
      <c r="S68" s="896">
        <v>0.03</v>
      </c>
      <c r="U68" s="878"/>
      <c r="V68" s="878"/>
      <c r="W68" s="878"/>
      <c r="X68" s="879"/>
    </row>
    <row r="69" spans="3:24" x14ac:dyDescent="0.35">
      <c r="C69" s="280"/>
      <c r="D69" s="148" t="s">
        <v>501</v>
      </c>
      <c r="E69" s="209">
        <f>SUM(E70:E73)</f>
        <v>0</v>
      </c>
      <c r="F69" s="566">
        <f>IF(E$45=0,0,100*E69/E$45)</f>
        <v>0</v>
      </c>
      <c r="G69" s="209">
        <f>SUM(G70:G73)</f>
        <v>0</v>
      </c>
      <c r="H69" s="566">
        <f>IF(G$45=0,0,100*G69/G$45)</f>
        <v>0</v>
      </c>
      <c r="I69" s="209">
        <f>SUM(I70:I73)</f>
        <v>0</v>
      </c>
      <c r="J69" s="566">
        <f>IF(I$45=0,0,100*I69/I$45)</f>
        <v>0</v>
      </c>
      <c r="K69" s="209">
        <f>SUM(K70:K73)</f>
        <v>0</v>
      </c>
      <c r="L69" s="566">
        <f>IF(K$45=0,0,100*K69/K$45)</f>
        <v>0</v>
      </c>
      <c r="M69" s="209">
        <f>SUM(M70:M73)</f>
        <v>0</v>
      </c>
      <c r="N69" s="571">
        <f>IF(M$45=0,0,100*M69/M$45)</f>
        <v>0</v>
      </c>
      <c r="P69" s="51"/>
      <c r="U69" s="878"/>
      <c r="V69" s="878"/>
      <c r="W69" s="878"/>
      <c r="X69" s="879"/>
    </row>
    <row r="70" spans="3:24" x14ac:dyDescent="0.35">
      <c r="C70" s="280"/>
      <c r="D70" s="144" t="s">
        <v>502</v>
      </c>
      <c r="E70" s="864"/>
      <c r="F70" s="676"/>
      <c r="G70" s="864">
        <f>E70+E70*P70</f>
        <v>0</v>
      </c>
      <c r="H70" s="676"/>
      <c r="I70" s="864">
        <f>G70+G70*Q70</f>
        <v>0</v>
      </c>
      <c r="J70" s="676"/>
      <c r="K70" s="864">
        <f>I70+I70*R70</f>
        <v>0</v>
      </c>
      <c r="L70" s="676"/>
      <c r="M70" s="864">
        <f>K70+K70*S70</f>
        <v>0</v>
      </c>
      <c r="N70" s="683"/>
      <c r="P70" s="896">
        <v>0.03</v>
      </c>
      <c r="Q70" s="896">
        <v>0.03</v>
      </c>
      <c r="R70" s="896">
        <v>0.03</v>
      </c>
      <c r="S70" s="896">
        <v>0.03</v>
      </c>
      <c r="U70" s="878"/>
      <c r="V70" s="878"/>
      <c r="W70" s="878"/>
      <c r="X70" s="879"/>
    </row>
    <row r="71" spans="3:24" x14ac:dyDescent="0.35">
      <c r="C71" s="280"/>
      <c r="D71" s="144" t="s">
        <v>503</v>
      </c>
      <c r="E71" s="864"/>
      <c r="F71" s="676"/>
      <c r="G71" s="864">
        <f t="shared" ref="G71:G73" si="12">E71+E71*P71</f>
        <v>0</v>
      </c>
      <c r="H71" s="676"/>
      <c r="I71" s="864">
        <f t="shared" ref="I71:I73" si="13">G71+G71*Q71</f>
        <v>0</v>
      </c>
      <c r="J71" s="676"/>
      <c r="K71" s="864">
        <f t="shared" ref="K71:K73" si="14">I71+I71*R71</f>
        <v>0</v>
      </c>
      <c r="L71" s="676"/>
      <c r="M71" s="864">
        <f t="shared" ref="M71:M73" si="15">K71+K71*S71</f>
        <v>0</v>
      </c>
      <c r="N71" s="683"/>
      <c r="P71" s="896">
        <v>0.03</v>
      </c>
      <c r="Q71" s="896">
        <v>0.03</v>
      </c>
      <c r="R71" s="896">
        <v>0.03</v>
      </c>
      <c r="S71" s="896">
        <v>0.03</v>
      </c>
      <c r="U71" s="878"/>
      <c r="V71" s="878"/>
      <c r="W71" s="878"/>
      <c r="X71" s="879"/>
    </row>
    <row r="72" spans="3:24" x14ac:dyDescent="0.35">
      <c r="C72" s="280"/>
      <c r="D72" s="144" t="s">
        <v>504</v>
      </c>
      <c r="E72" s="864"/>
      <c r="F72" s="676"/>
      <c r="G72" s="864">
        <f>E72+E72*P72</f>
        <v>0</v>
      </c>
      <c r="H72" s="676"/>
      <c r="I72" s="864">
        <f t="shared" si="13"/>
        <v>0</v>
      </c>
      <c r="J72" s="676"/>
      <c r="K72" s="864">
        <f t="shared" si="14"/>
        <v>0</v>
      </c>
      <c r="L72" s="676"/>
      <c r="M72" s="864">
        <f t="shared" si="15"/>
        <v>0</v>
      </c>
      <c r="N72" s="683"/>
      <c r="P72" s="896">
        <v>0.03</v>
      </c>
      <c r="Q72" s="896">
        <v>0.03</v>
      </c>
      <c r="R72" s="896">
        <v>0.03</v>
      </c>
      <c r="S72" s="896">
        <v>0.03</v>
      </c>
      <c r="U72" s="878"/>
      <c r="V72" s="878"/>
      <c r="W72" s="878"/>
      <c r="X72" s="879"/>
    </row>
    <row r="73" spans="3:24" ht="15" thickBot="1" x14ac:dyDescent="0.4">
      <c r="C73" s="280"/>
      <c r="D73" s="206" t="s">
        <v>505</v>
      </c>
      <c r="E73" s="902"/>
      <c r="F73" s="715"/>
      <c r="G73" s="902">
        <f t="shared" si="12"/>
        <v>0</v>
      </c>
      <c r="H73" s="715"/>
      <c r="I73" s="902">
        <f t="shared" si="13"/>
        <v>0</v>
      </c>
      <c r="J73" s="715"/>
      <c r="K73" s="902">
        <f t="shared" si="14"/>
        <v>0</v>
      </c>
      <c r="L73" s="715"/>
      <c r="M73" s="902">
        <f t="shared" si="15"/>
        <v>0</v>
      </c>
      <c r="N73" s="716"/>
      <c r="P73" s="896">
        <v>0.03</v>
      </c>
      <c r="Q73" s="896">
        <v>0.03</v>
      </c>
      <c r="R73" s="896">
        <v>0.03</v>
      </c>
      <c r="S73" s="896">
        <v>0.03</v>
      </c>
      <c r="U73" s="878"/>
      <c r="V73" s="878"/>
      <c r="W73" s="878"/>
      <c r="X73" s="879"/>
    </row>
    <row r="74" spans="3:24" x14ac:dyDescent="0.35">
      <c r="C74" s="280"/>
      <c r="D74" s="148" t="s">
        <v>506</v>
      </c>
      <c r="E74" s="209">
        <f>SUM(E75:E78)</f>
        <v>0</v>
      </c>
      <c r="F74" s="566">
        <f>IF(E$45=0,0,100*E74/E$45)</f>
        <v>0</v>
      </c>
      <c r="G74" s="209">
        <f>SUM(G75:G78)</f>
        <v>0</v>
      </c>
      <c r="H74" s="566">
        <f>IF(G$45=0,0,100*G74/G$45)</f>
        <v>0</v>
      </c>
      <c r="I74" s="209">
        <f>SUM(I75:I78)</f>
        <v>0</v>
      </c>
      <c r="J74" s="566">
        <f>IF(I$45=0,0,100*I74/I$45)</f>
        <v>0</v>
      </c>
      <c r="K74" s="209">
        <f>SUM(K75:K78)</f>
        <v>0</v>
      </c>
      <c r="L74" s="566">
        <f>IF(K$45=0,0,100*K74/K$45)</f>
        <v>0</v>
      </c>
      <c r="M74" s="209">
        <f>SUM(M75:M78)</f>
        <v>0</v>
      </c>
      <c r="N74" s="571">
        <f>IF(M$45=0,0,100*M74/M$45)</f>
        <v>0</v>
      </c>
      <c r="P74" s="51"/>
      <c r="U74" s="878"/>
      <c r="V74" s="878"/>
      <c r="W74" s="878"/>
      <c r="X74" s="879"/>
    </row>
    <row r="75" spans="3:24" x14ac:dyDescent="0.35">
      <c r="C75" s="280"/>
      <c r="D75" s="144" t="s">
        <v>507</v>
      </c>
      <c r="E75" s="864"/>
      <c r="F75" s="676"/>
      <c r="G75" s="864">
        <f>E75+E75*P75</f>
        <v>0</v>
      </c>
      <c r="H75" s="676"/>
      <c r="I75" s="864">
        <f>G75+G75*Q75</f>
        <v>0</v>
      </c>
      <c r="J75" s="676"/>
      <c r="K75" s="864">
        <f>I75+I75*R75</f>
        <v>0</v>
      </c>
      <c r="L75" s="676"/>
      <c r="M75" s="864">
        <f>K75+K75*S75</f>
        <v>0</v>
      </c>
      <c r="N75" s="683"/>
      <c r="P75" s="896">
        <v>0.03</v>
      </c>
      <c r="Q75" s="896">
        <v>0.03</v>
      </c>
      <c r="R75" s="896">
        <v>0.03</v>
      </c>
      <c r="S75" s="896">
        <v>0.03</v>
      </c>
      <c r="U75" s="878"/>
      <c r="V75" s="878"/>
      <c r="W75" s="878"/>
      <c r="X75" s="879"/>
    </row>
    <row r="76" spans="3:24" x14ac:dyDescent="0.35">
      <c r="C76" s="280"/>
      <c r="D76" s="144" t="s">
        <v>508</v>
      </c>
      <c r="E76" s="864"/>
      <c r="F76" s="676"/>
      <c r="G76" s="864">
        <f t="shared" ref="G76:G78" si="16">E76+E76*P76</f>
        <v>0</v>
      </c>
      <c r="H76" s="676"/>
      <c r="I76" s="864">
        <f t="shared" ref="I76:I78" si="17">G76+G76*Q76</f>
        <v>0</v>
      </c>
      <c r="J76" s="676"/>
      <c r="K76" s="864">
        <f t="shared" ref="K76:K78" si="18">I76+I76*R76</f>
        <v>0</v>
      </c>
      <c r="L76" s="676"/>
      <c r="M76" s="864">
        <f t="shared" ref="M76:M78" si="19">K76+K76*S76</f>
        <v>0</v>
      </c>
      <c r="N76" s="683"/>
      <c r="P76" s="896">
        <v>0.03</v>
      </c>
      <c r="Q76" s="896">
        <v>0.03</v>
      </c>
      <c r="R76" s="896">
        <v>0.03</v>
      </c>
      <c r="S76" s="896">
        <v>0.03</v>
      </c>
      <c r="U76" s="878"/>
      <c r="V76" s="878"/>
      <c r="W76" s="878"/>
      <c r="X76" s="879"/>
    </row>
    <row r="77" spans="3:24" x14ac:dyDescent="0.35">
      <c r="C77" s="280"/>
      <c r="D77" s="144" t="s">
        <v>509</v>
      </c>
      <c r="E77" s="864"/>
      <c r="F77" s="676"/>
      <c r="G77" s="864">
        <f t="shared" si="16"/>
        <v>0</v>
      </c>
      <c r="H77" s="676"/>
      <c r="I77" s="864">
        <f t="shared" si="17"/>
        <v>0</v>
      </c>
      <c r="J77" s="676"/>
      <c r="K77" s="864">
        <f t="shared" si="18"/>
        <v>0</v>
      </c>
      <c r="L77" s="676"/>
      <c r="M77" s="864">
        <f t="shared" si="19"/>
        <v>0</v>
      </c>
      <c r="N77" s="683"/>
      <c r="P77" s="896">
        <v>0.03</v>
      </c>
      <c r="Q77" s="896">
        <v>0.03</v>
      </c>
      <c r="R77" s="896">
        <v>0.03</v>
      </c>
      <c r="S77" s="896">
        <v>0.03</v>
      </c>
      <c r="U77" s="878"/>
      <c r="V77" s="878"/>
      <c r="W77" s="878"/>
      <c r="X77" s="879"/>
    </row>
    <row r="78" spans="3:24" ht="15" thickBot="1" x14ac:dyDescent="0.4">
      <c r="C78" s="280"/>
      <c r="D78" s="206" t="s">
        <v>510</v>
      </c>
      <c r="E78" s="902"/>
      <c r="F78" s="715"/>
      <c r="G78" s="902">
        <f t="shared" si="16"/>
        <v>0</v>
      </c>
      <c r="H78" s="715"/>
      <c r="I78" s="902">
        <f t="shared" si="17"/>
        <v>0</v>
      </c>
      <c r="J78" s="715"/>
      <c r="K78" s="902">
        <f t="shared" si="18"/>
        <v>0</v>
      </c>
      <c r="L78" s="715"/>
      <c r="M78" s="902">
        <f t="shared" si="19"/>
        <v>0</v>
      </c>
      <c r="N78" s="716"/>
      <c r="P78" s="896">
        <v>0.03</v>
      </c>
      <c r="Q78" s="896">
        <v>0.03</v>
      </c>
      <c r="R78" s="896">
        <v>0.03</v>
      </c>
      <c r="S78" s="896">
        <v>0.03</v>
      </c>
      <c r="U78" s="878"/>
      <c r="V78" s="878"/>
      <c r="W78" s="878"/>
      <c r="X78" s="879"/>
    </row>
    <row r="79" spans="3:24" x14ac:dyDescent="0.35">
      <c r="C79" s="280"/>
      <c r="D79" s="148" t="s">
        <v>511</v>
      </c>
      <c r="E79" s="209">
        <f>SUM(E80:E82)</f>
        <v>0</v>
      </c>
      <c r="F79" s="566">
        <f>IF(E$45=0,0,100*E79/E$45)</f>
        <v>0</v>
      </c>
      <c r="G79" s="209">
        <f>SUM(G80:G82)</f>
        <v>0</v>
      </c>
      <c r="H79" s="566">
        <f>IF(G$45=0,0,100*G79/G$45)</f>
        <v>0</v>
      </c>
      <c r="I79" s="209">
        <f>SUM(I80:I82)</f>
        <v>0</v>
      </c>
      <c r="J79" s="566">
        <f>IF(I$45=0,0,100*I79/I$45)</f>
        <v>0</v>
      </c>
      <c r="K79" s="209">
        <f>SUM(K80:K82)</f>
        <v>0</v>
      </c>
      <c r="L79" s="566">
        <f>IF(K$45=0,0,100*K79/K$45)</f>
        <v>0</v>
      </c>
      <c r="M79" s="209">
        <f>SUM(M80:M82)</f>
        <v>0</v>
      </c>
      <c r="N79" s="571">
        <f>IF(M$45=0,0,100*M79/M$45)</f>
        <v>0</v>
      </c>
      <c r="P79" s="51"/>
      <c r="U79" s="878"/>
      <c r="V79" s="878"/>
      <c r="W79" s="878"/>
      <c r="X79" s="879"/>
    </row>
    <row r="80" spans="3:24" x14ac:dyDescent="0.35">
      <c r="C80" s="280"/>
      <c r="D80" s="144" t="s">
        <v>512</v>
      </c>
      <c r="E80" s="864"/>
      <c r="F80" s="676"/>
      <c r="G80" s="864">
        <f t="shared" ref="G80:G82" si="20">E80+E80*P80</f>
        <v>0</v>
      </c>
      <c r="H80" s="676"/>
      <c r="I80" s="864">
        <f t="shared" ref="I80:I82" si="21">G80+G80*Q80</f>
        <v>0</v>
      </c>
      <c r="J80" s="676"/>
      <c r="K80" s="864">
        <f t="shared" ref="K80:K82" si="22">I80+I80*R80</f>
        <v>0</v>
      </c>
      <c r="L80" s="676"/>
      <c r="M80" s="864">
        <f t="shared" ref="M80:M82" si="23">K80+K80*S80</f>
        <v>0</v>
      </c>
      <c r="N80" s="683"/>
      <c r="P80" s="896">
        <v>0.03</v>
      </c>
      <c r="Q80" s="896">
        <v>0.03</v>
      </c>
      <c r="R80" s="896">
        <v>0.03</v>
      </c>
      <c r="S80" s="896">
        <v>0.03</v>
      </c>
      <c r="U80" s="878"/>
      <c r="V80" s="878"/>
      <c r="W80" s="878"/>
      <c r="X80" s="879"/>
    </row>
    <row r="81" spans="3:24" x14ac:dyDescent="0.35">
      <c r="C81" s="280"/>
      <c r="D81" s="144" t="s">
        <v>513</v>
      </c>
      <c r="E81" s="864"/>
      <c r="F81" s="676"/>
      <c r="G81" s="864">
        <f t="shared" si="20"/>
        <v>0</v>
      </c>
      <c r="H81" s="676"/>
      <c r="I81" s="864">
        <f t="shared" si="21"/>
        <v>0</v>
      </c>
      <c r="J81" s="676"/>
      <c r="K81" s="864">
        <f t="shared" si="22"/>
        <v>0</v>
      </c>
      <c r="L81" s="676"/>
      <c r="M81" s="864">
        <f t="shared" si="23"/>
        <v>0</v>
      </c>
      <c r="N81" s="683"/>
      <c r="P81" s="896">
        <v>0.03</v>
      </c>
      <c r="Q81" s="896">
        <v>0.03</v>
      </c>
      <c r="R81" s="896">
        <v>0.03</v>
      </c>
      <c r="S81" s="896">
        <v>0.03</v>
      </c>
      <c r="U81" s="878"/>
      <c r="V81" s="878"/>
      <c r="W81" s="878"/>
      <c r="X81" s="879"/>
    </row>
    <row r="82" spans="3:24" ht="15" thickBot="1" x14ac:dyDescent="0.4">
      <c r="C82" s="280"/>
      <c r="D82" s="206" t="s">
        <v>514</v>
      </c>
      <c r="E82" s="902"/>
      <c r="F82" s="715"/>
      <c r="G82" s="902">
        <f t="shared" si="20"/>
        <v>0</v>
      </c>
      <c r="H82" s="715"/>
      <c r="I82" s="902">
        <f t="shared" si="21"/>
        <v>0</v>
      </c>
      <c r="J82" s="715"/>
      <c r="K82" s="902">
        <f t="shared" si="22"/>
        <v>0</v>
      </c>
      <c r="L82" s="715"/>
      <c r="M82" s="902">
        <f t="shared" si="23"/>
        <v>0</v>
      </c>
      <c r="N82" s="716"/>
      <c r="P82" s="896">
        <v>0.03</v>
      </c>
      <c r="Q82" s="896">
        <v>0.03</v>
      </c>
      <c r="R82" s="896">
        <v>0.03</v>
      </c>
      <c r="S82" s="896">
        <v>0.03</v>
      </c>
      <c r="U82" s="878"/>
      <c r="V82" s="878"/>
      <c r="W82" s="878"/>
      <c r="X82" s="879"/>
    </row>
    <row r="83" spans="3:24" x14ac:dyDescent="0.35">
      <c r="C83" s="280"/>
      <c r="D83" s="148" t="s">
        <v>515</v>
      </c>
      <c r="E83" s="209">
        <f>SUM(E84:E85)</f>
        <v>0</v>
      </c>
      <c r="F83" s="566">
        <f>IF(E$45=0,0,100*E83/E$45)</f>
        <v>0</v>
      </c>
      <c r="G83" s="209">
        <f>SUM(G84:G85)</f>
        <v>0</v>
      </c>
      <c r="H83" s="566">
        <f>IF(G$45=0,0,100*G83/G$45)</f>
        <v>0</v>
      </c>
      <c r="I83" s="209">
        <f>SUM(I84:I85)</f>
        <v>0</v>
      </c>
      <c r="J83" s="566">
        <f>IF(I$45=0,0,100*I83/I$45)</f>
        <v>0</v>
      </c>
      <c r="K83" s="209">
        <f>SUM(K84:K85)</f>
        <v>0</v>
      </c>
      <c r="L83" s="566">
        <f>IF(K$45=0,0,100*K83/K$45)</f>
        <v>0</v>
      </c>
      <c r="M83" s="209">
        <f>SUM(M84:M85)</f>
        <v>0</v>
      </c>
      <c r="N83" s="571">
        <f>IF(M$45=0,0,100*M83/M$45)</f>
        <v>0</v>
      </c>
      <c r="P83" s="51"/>
      <c r="U83" s="878"/>
      <c r="V83" s="878"/>
      <c r="W83" s="878"/>
      <c r="X83" s="879"/>
    </row>
    <row r="84" spans="3:24" x14ac:dyDescent="0.35">
      <c r="C84" s="280"/>
      <c r="D84" s="144" t="s">
        <v>516</v>
      </c>
      <c r="E84" s="864"/>
      <c r="F84" s="676"/>
      <c r="G84" s="864">
        <f t="shared" ref="G84:G87" si="24">E84+E84*P84</f>
        <v>0</v>
      </c>
      <c r="H84" s="676"/>
      <c r="I84" s="864">
        <f t="shared" ref="I84:I87" si="25">G84+G84*Q84</f>
        <v>0</v>
      </c>
      <c r="J84" s="676"/>
      <c r="K84" s="864">
        <f t="shared" ref="K84:K87" si="26">I84+I84*R84</f>
        <v>0</v>
      </c>
      <c r="L84" s="676"/>
      <c r="M84" s="864">
        <f t="shared" ref="M84:M87" si="27">K84+K84*S84</f>
        <v>0</v>
      </c>
      <c r="N84" s="683"/>
      <c r="P84" s="896">
        <v>0.03</v>
      </c>
      <c r="Q84" s="896">
        <v>0.03</v>
      </c>
      <c r="R84" s="896">
        <v>0.03</v>
      </c>
      <c r="S84" s="896">
        <v>0.03</v>
      </c>
      <c r="U84" s="878"/>
      <c r="V84" s="878"/>
      <c r="W84" s="878"/>
      <c r="X84" s="879"/>
    </row>
    <row r="85" spans="3:24" ht="15" thickBot="1" x14ac:dyDescent="0.4">
      <c r="C85" s="280"/>
      <c r="D85" s="206" t="s">
        <v>517</v>
      </c>
      <c r="E85" s="902"/>
      <c r="F85" s="715"/>
      <c r="G85" s="902">
        <f t="shared" si="24"/>
        <v>0</v>
      </c>
      <c r="H85" s="715"/>
      <c r="I85" s="902">
        <f t="shared" si="25"/>
        <v>0</v>
      </c>
      <c r="J85" s="715"/>
      <c r="K85" s="902">
        <f t="shared" si="26"/>
        <v>0</v>
      </c>
      <c r="L85" s="715"/>
      <c r="M85" s="902">
        <f t="shared" si="27"/>
        <v>0</v>
      </c>
      <c r="N85" s="716"/>
      <c r="P85" s="896">
        <v>0.03</v>
      </c>
      <c r="Q85" s="896">
        <v>0.03</v>
      </c>
      <c r="R85" s="896">
        <v>0.03</v>
      </c>
      <c r="S85" s="896">
        <v>0.03</v>
      </c>
      <c r="U85" s="878"/>
      <c r="V85" s="878"/>
      <c r="W85" s="878"/>
      <c r="X85" s="879"/>
    </row>
    <row r="86" spans="3:24" ht="15" thickBot="1" x14ac:dyDescent="0.4">
      <c r="C86" s="280"/>
      <c r="D86" s="210" t="s">
        <v>518</v>
      </c>
      <c r="E86" s="873"/>
      <c r="F86" s="568">
        <f>IF(E$45=0,0,100*E86/E$45)</f>
        <v>0</v>
      </c>
      <c r="G86" s="873">
        <f t="shared" si="24"/>
        <v>0</v>
      </c>
      <c r="H86" s="568">
        <f>IF(G$45=0,0,100*G86/G$45)</f>
        <v>0</v>
      </c>
      <c r="I86" s="873">
        <f t="shared" si="25"/>
        <v>0</v>
      </c>
      <c r="J86" s="568">
        <f>IF(I$45=0,0,100*I86/I$45)</f>
        <v>0</v>
      </c>
      <c r="K86" s="873">
        <f t="shared" si="26"/>
        <v>0</v>
      </c>
      <c r="L86" s="568">
        <f>IF(K$45=0,0,100*K86/K$45)</f>
        <v>0</v>
      </c>
      <c r="M86" s="873">
        <f t="shared" si="27"/>
        <v>0</v>
      </c>
      <c r="N86" s="572">
        <f>IF(M$45=0,0,100*M86/M$45)</f>
        <v>0</v>
      </c>
      <c r="P86" s="896">
        <v>0.03</v>
      </c>
      <c r="Q86" s="896">
        <v>0.03</v>
      </c>
      <c r="R86" s="896">
        <v>0.03</v>
      </c>
      <c r="S86" s="896">
        <v>0.03</v>
      </c>
      <c r="U86" s="878"/>
      <c r="V86" s="878"/>
      <c r="W86" s="878"/>
      <c r="X86" s="879"/>
    </row>
    <row r="87" spans="3:24" ht="15" thickBot="1" x14ac:dyDescent="0.4">
      <c r="C87" s="280"/>
      <c r="D87" s="210" t="s">
        <v>519</v>
      </c>
      <c r="E87" s="873"/>
      <c r="F87" s="568">
        <f>IF(E$45=0,0,100*E87/E$45)</f>
        <v>0</v>
      </c>
      <c r="G87" s="873">
        <f t="shared" si="24"/>
        <v>0</v>
      </c>
      <c r="H87" s="568">
        <f>IF(G$45=0,0,100*G87/G$45)</f>
        <v>0</v>
      </c>
      <c r="I87" s="873">
        <f t="shared" si="25"/>
        <v>0</v>
      </c>
      <c r="J87" s="568">
        <f>IF(I$45=0,0,100*I87/I$45)</f>
        <v>0</v>
      </c>
      <c r="K87" s="873">
        <f t="shared" si="26"/>
        <v>0</v>
      </c>
      <c r="L87" s="568">
        <f>IF(K$45=0,0,100*K87/K$45)</f>
        <v>0</v>
      </c>
      <c r="M87" s="873">
        <f t="shared" si="27"/>
        <v>0</v>
      </c>
      <c r="N87" s="572">
        <f>IF(M$45=0,0,100*M87/M$45)</f>
        <v>0</v>
      </c>
      <c r="P87" s="896">
        <v>0.03</v>
      </c>
      <c r="Q87" s="896">
        <v>0.03</v>
      </c>
      <c r="R87" s="896">
        <v>0.03</v>
      </c>
      <c r="S87" s="896">
        <v>0.03</v>
      </c>
      <c r="U87" s="878"/>
      <c r="V87" s="878"/>
      <c r="W87" s="878"/>
      <c r="X87" s="879"/>
    </row>
    <row r="88" spans="3:24" x14ac:dyDescent="0.35">
      <c r="C88" s="280"/>
      <c r="D88" s="148" t="s">
        <v>520</v>
      </c>
      <c r="E88" s="209">
        <f>SUM(E89:E93)</f>
        <v>0</v>
      </c>
      <c r="F88" s="567">
        <f>IF(E$45=0,0,100*E88/E$45)</f>
        <v>0</v>
      </c>
      <c r="G88" s="209">
        <f>SUM(G89:G93)</f>
        <v>0</v>
      </c>
      <c r="H88" s="567">
        <f>IF(G$45=0,0,100*G88/G$45)</f>
        <v>0</v>
      </c>
      <c r="I88" s="209">
        <f>SUM(I89:I93)</f>
        <v>0</v>
      </c>
      <c r="J88" s="567">
        <f>IF(I$45=0,0,100*I88/I$45)</f>
        <v>0</v>
      </c>
      <c r="K88" s="209">
        <f>SUM(K89:K93)</f>
        <v>0</v>
      </c>
      <c r="L88" s="567">
        <f>IF(K$45=0,0,100*K88/K$45)</f>
        <v>0</v>
      </c>
      <c r="M88" s="209">
        <f>SUM(M89:M93)</f>
        <v>0</v>
      </c>
      <c r="N88" s="573">
        <f>IF(M$45=0,0,100*M88/M$45)</f>
        <v>0</v>
      </c>
      <c r="P88" s="51"/>
      <c r="U88" s="878"/>
      <c r="V88" s="878"/>
      <c r="W88" s="878"/>
      <c r="X88" s="879"/>
    </row>
    <row r="89" spans="3:24" x14ac:dyDescent="0.35">
      <c r="C89" s="280"/>
      <c r="D89" s="144" t="s">
        <v>521</v>
      </c>
      <c r="E89" s="864"/>
      <c r="F89" s="676"/>
      <c r="G89" s="864">
        <f t="shared" ref="G89:G93" si="28">E89+E89*P89</f>
        <v>0</v>
      </c>
      <c r="H89" s="676"/>
      <c r="I89" s="864">
        <f t="shared" ref="I89:I93" si="29">G89+G89*Q89</f>
        <v>0</v>
      </c>
      <c r="J89" s="676"/>
      <c r="K89" s="864">
        <f t="shared" ref="K89:K93" si="30">I89+I89*R89</f>
        <v>0</v>
      </c>
      <c r="L89" s="676"/>
      <c r="M89" s="864">
        <f t="shared" ref="M89:M93" si="31">K89+K89*S89</f>
        <v>0</v>
      </c>
      <c r="N89" s="683"/>
      <c r="P89" s="896">
        <v>0.03</v>
      </c>
      <c r="Q89" s="896">
        <v>0.03</v>
      </c>
      <c r="R89" s="896">
        <v>0.03</v>
      </c>
      <c r="S89" s="896">
        <v>0.03</v>
      </c>
      <c r="U89" s="878"/>
      <c r="V89" s="878"/>
      <c r="W89" s="878"/>
      <c r="X89" s="879"/>
    </row>
    <row r="90" spans="3:24" x14ac:dyDescent="0.35">
      <c r="C90" s="280"/>
      <c r="D90" s="144" t="s">
        <v>522</v>
      </c>
      <c r="E90" s="864"/>
      <c r="F90" s="676"/>
      <c r="G90" s="864">
        <f t="shared" si="28"/>
        <v>0</v>
      </c>
      <c r="H90" s="676"/>
      <c r="I90" s="864">
        <f t="shared" si="29"/>
        <v>0</v>
      </c>
      <c r="J90" s="676"/>
      <c r="K90" s="864">
        <f t="shared" si="30"/>
        <v>0</v>
      </c>
      <c r="L90" s="676"/>
      <c r="M90" s="864">
        <f t="shared" si="31"/>
        <v>0</v>
      </c>
      <c r="N90" s="683"/>
      <c r="P90" s="896">
        <v>0.03</v>
      </c>
      <c r="Q90" s="896">
        <v>0.03</v>
      </c>
      <c r="R90" s="896">
        <v>0.03</v>
      </c>
      <c r="S90" s="896">
        <v>0.03</v>
      </c>
      <c r="U90" s="878"/>
      <c r="V90" s="878"/>
      <c r="W90" s="878"/>
      <c r="X90" s="879"/>
    </row>
    <row r="91" spans="3:24" x14ac:dyDescent="0.35">
      <c r="C91" s="280"/>
      <c r="D91" s="144" t="s">
        <v>523</v>
      </c>
      <c r="E91" s="864"/>
      <c r="F91" s="676"/>
      <c r="G91" s="864">
        <f t="shared" si="28"/>
        <v>0</v>
      </c>
      <c r="H91" s="676"/>
      <c r="I91" s="864">
        <f t="shared" si="29"/>
        <v>0</v>
      </c>
      <c r="J91" s="676"/>
      <c r="K91" s="864">
        <f t="shared" si="30"/>
        <v>0</v>
      </c>
      <c r="L91" s="676"/>
      <c r="M91" s="864">
        <f t="shared" si="31"/>
        <v>0</v>
      </c>
      <c r="N91" s="683"/>
      <c r="P91" s="896">
        <v>0.03</v>
      </c>
      <c r="Q91" s="896">
        <v>0.03</v>
      </c>
      <c r="R91" s="896">
        <v>0.03</v>
      </c>
      <c r="S91" s="896">
        <v>0.03</v>
      </c>
      <c r="U91" s="878"/>
      <c r="V91" s="878"/>
      <c r="W91" s="878"/>
      <c r="X91" s="879"/>
    </row>
    <row r="92" spans="3:24" x14ac:dyDescent="0.35">
      <c r="C92" s="280"/>
      <c r="D92" s="144" t="s">
        <v>524</v>
      </c>
      <c r="E92" s="864"/>
      <c r="F92" s="676"/>
      <c r="G92" s="864">
        <f t="shared" si="28"/>
        <v>0</v>
      </c>
      <c r="H92" s="676"/>
      <c r="I92" s="864">
        <f t="shared" si="29"/>
        <v>0</v>
      </c>
      <c r="J92" s="676"/>
      <c r="K92" s="864">
        <f t="shared" si="30"/>
        <v>0</v>
      </c>
      <c r="L92" s="676"/>
      <c r="M92" s="864">
        <f t="shared" si="31"/>
        <v>0</v>
      </c>
      <c r="N92" s="683"/>
      <c r="P92" s="896">
        <v>0.03</v>
      </c>
      <c r="Q92" s="896">
        <v>0.03</v>
      </c>
      <c r="R92" s="896">
        <v>0.03</v>
      </c>
      <c r="S92" s="896">
        <v>0.03</v>
      </c>
      <c r="U92" s="878"/>
      <c r="V92" s="878"/>
      <c r="W92" s="878"/>
      <c r="X92" s="879"/>
    </row>
    <row r="93" spans="3:24" ht="15" thickBot="1" x14ac:dyDescent="0.4">
      <c r="C93" s="280"/>
      <c r="D93" s="206" t="s">
        <v>525</v>
      </c>
      <c r="E93" s="902"/>
      <c r="F93" s="715"/>
      <c r="G93" s="902">
        <f t="shared" si="28"/>
        <v>0</v>
      </c>
      <c r="H93" s="715"/>
      <c r="I93" s="902">
        <f t="shared" si="29"/>
        <v>0</v>
      </c>
      <c r="J93" s="715"/>
      <c r="K93" s="902">
        <f t="shared" si="30"/>
        <v>0</v>
      </c>
      <c r="L93" s="715"/>
      <c r="M93" s="902">
        <f t="shared" si="31"/>
        <v>0</v>
      </c>
      <c r="N93" s="716"/>
      <c r="P93" s="896">
        <v>0.03</v>
      </c>
      <c r="Q93" s="896">
        <v>0.03</v>
      </c>
      <c r="R93" s="896">
        <v>0.03</v>
      </c>
      <c r="S93" s="896">
        <v>0.03</v>
      </c>
      <c r="U93" s="878"/>
      <c r="V93" s="878"/>
      <c r="W93" s="878"/>
      <c r="X93" s="879"/>
    </row>
    <row r="94" spans="3:24" x14ac:dyDescent="0.35">
      <c r="C94" s="280"/>
      <c r="D94" s="148" t="s">
        <v>526</v>
      </c>
      <c r="E94" s="209">
        <f>SUM(E95:E98)</f>
        <v>0</v>
      </c>
      <c r="F94" s="569">
        <f>IF(E$45=0,0,100*E94/E$45)</f>
        <v>0</v>
      </c>
      <c r="G94" s="209">
        <f>SUM(G95:G98)</f>
        <v>0</v>
      </c>
      <c r="H94" s="569">
        <f>IF(G$45=0,0,100*G94/G$45)</f>
        <v>0</v>
      </c>
      <c r="I94" s="209">
        <f>SUM(I95:I98)</f>
        <v>0</v>
      </c>
      <c r="J94" s="569">
        <f>IF(I$45=0,0,100*I94/I$45)</f>
        <v>0</v>
      </c>
      <c r="K94" s="209">
        <f>SUM(K95:K98)</f>
        <v>0</v>
      </c>
      <c r="L94" s="569">
        <f>IF(K$45=0,0,100*K94/K$45)</f>
        <v>0</v>
      </c>
      <c r="M94" s="209">
        <f>SUM(M95:M98)</f>
        <v>0</v>
      </c>
      <c r="N94" s="574">
        <f>IF(M$45=0,0,100*M94/M$45)</f>
        <v>0</v>
      </c>
      <c r="P94" s="51"/>
      <c r="U94" s="878"/>
      <c r="V94" s="878"/>
      <c r="W94" s="878"/>
      <c r="X94" s="879"/>
    </row>
    <row r="95" spans="3:24" x14ac:dyDescent="0.35">
      <c r="C95" s="280"/>
      <c r="D95" s="144" t="s">
        <v>527</v>
      </c>
      <c r="E95" s="864"/>
      <c r="F95" s="717"/>
      <c r="G95" s="864">
        <f t="shared" ref="G95:G98" si="32">E95+E95*P95</f>
        <v>0</v>
      </c>
      <c r="H95" s="717"/>
      <c r="I95" s="864">
        <f t="shared" ref="I95:I98" si="33">G95+G95*Q95</f>
        <v>0</v>
      </c>
      <c r="J95" s="717"/>
      <c r="K95" s="864">
        <f t="shared" ref="K95:K98" si="34">I95+I95*R95</f>
        <v>0</v>
      </c>
      <c r="L95" s="717"/>
      <c r="M95" s="864">
        <f t="shared" ref="M95:M98" si="35">K95+K95*S95</f>
        <v>0</v>
      </c>
      <c r="N95" s="682"/>
      <c r="P95" s="896">
        <v>0.03</v>
      </c>
      <c r="Q95" s="896">
        <v>0.03</v>
      </c>
      <c r="R95" s="896">
        <v>0.03</v>
      </c>
      <c r="S95" s="896">
        <v>0.03</v>
      </c>
      <c r="U95" s="878"/>
      <c r="V95" s="878"/>
      <c r="W95" s="878"/>
      <c r="X95" s="879"/>
    </row>
    <row r="96" spans="3:24" x14ac:dyDescent="0.35">
      <c r="C96" s="280"/>
      <c r="D96" s="144" t="s">
        <v>528</v>
      </c>
      <c r="E96" s="864"/>
      <c r="F96" s="676"/>
      <c r="G96" s="864">
        <f t="shared" si="32"/>
        <v>0</v>
      </c>
      <c r="H96" s="676"/>
      <c r="I96" s="864">
        <f t="shared" si="33"/>
        <v>0</v>
      </c>
      <c r="J96" s="676"/>
      <c r="K96" s="864">
        <f t="shared" si="34"/>
        <v>0</v>
      </c>
      <c r="L96" s="676"/>
      <c r="M96" s="864">
        <f t="shared" si="35"/>
        <v>0</v>
      </c>
      <c r="N96" s="683"/>
      <c r="P96" s="896">
        <v>0.03</v>
      </c>
      <c r="Q96" s="896">
        <v>0.03</v>
      </c>
      <c r="R96" s="896">
        <v>0.03</v>
      </c>
      <c r="S96" s="896">
        <v>0.03</v>
      </c>
      <c r="U96" s="878"/>
      <c r="V96" s="878"/>
      <c r="W96" s="878"/>
      <c r="X96" s="879"/>
    </row>
    <row r="97" spans="3:24" x14ac:dyDescent="0.35">
      <c r="C97" s="280"/>
      <c r="D97" s="144" t="s">
        <v>529</v>
      </c>
      <c r="E97" s="864"/>
      <c r="F97" s="676"/>
      <c r="G97" s="864">
        <f t="shared" si="32"/>
        <v>0</v>
      </c>
      <c r="H97" s="676"/>
      <c r="I97" s="864">
        <f t="shared" si="33"/>
        <v>0</v>
      </c>
      <c r="J97" s="676"/>
      <c r="K97" s="864">
        <f t="shared" si="34"/>
        <v>0</v>
      </c>
      <c r="L97" s="676"/>
      <c r="M97" s="864">
        <f t="shared" si="35"/>
        <v>0</v>
      </c>
      <c r="N97" s="683"/>
      <c r="P97" s="896">
        <v>0.03</v>
      </c>
      <c r="Q97" s="896">
        <v>0.03</v>
      </c>
      <c r="R97" s="896">
        <v>0.03</v>
      </c>
      <c r="S97" s="896">
        <v>0.03</v>
      </c>
      <c r="U97" s="878"/>
      <c r="V97" s="878"/>
      <c r="W97" s="878"/>
      <c r="X97" s="879"/>
    </row>
    <row r="98" spans="3:24" ht="15" thickBot="1" x14ac:dyDescent="0.4">
      <c r="C98" s="280"/>
      <c r="D98" s="206" t="s">
        <v>530</v>
      </c>
      <c r="E98" s="902"/>
      <c r="F98" s="715"/>
      <c r="G98" s="902">
        <f t="shared" si="32"/>
        <v>0</v>
      </c>
      <c r="H98" s="715"/>
      <c r="I98" s="902">
        <f t="shared" si="33"/>
        <v>0</v>
      </c>
      <c r="J98" s="715"/>
      <c r="K98" s="902">
        <f t="shared" si="34"/>
        <v>0</v>
      </c>
      <c r="L98" s="715"/>
      <c r="M98" s="902">
        <f t="shared" si="35"/>
        <v>0</v>
      </c>
      <c r="N98" s="716"/>
      <c r="P98" s="896">
        <v>0.03</v>
      </c>
      <c r="Q98" s="896">
        <v>0.03</v>
      </c>
      <c r="R98" s="896">
        <v>0.03</v>
      </c>
      <c r="S98" s="896">
        <v>0.03</v>
      </c>
      <c r="U98" s="878"/>
      <c r="V98" s="878"/>
      <c r="W98" s="878"/>
      <c r="X98" s="879"/>
    </row>
    <row r="99" spans="3:24" x14ac:dyDescent="0.35">
      <c r="C99" s="280"/>
      <c r="D99" s="148" t="s">
        <v>531</v>
      </c>
      <c r="E99" s="209">
        <f>SUM(E100:E103)</f>
        <v>0</v>
      </c>
      <c r="F99" s="569">
        <f>IF(E$45=0,0,100*E99/E$45)</f>
        <v>0</v>
      </c>
      <c r="G99" s="209">
        <f>SUM(G100:G103)</f>
        <v>0</v>
      </c>
      <c r="H99" s="569">
        <f>IF(G$45=0,0,100*G99/G$45)</f>
        <v>0</v>
      </c>
      <c r="I99" s="209">
        <f>SUM(I100:I103)</f>
        <v>0</v>
      </c>
      <c r="J99" s="569">
        <f>IF(I$45=0,0,100*I99/I$45)</f>
        <v>0</v>
      </c>
      <c r="K99" s="209">
        <f>SUM(K100:K103)</f>
        <v>0</v>
      </c>
      <c r="L99" s="569">
        <f>IF(K$45=0,0,100*K99/K$45)</f>
        <v>0</v>
      </c>
      <c r="M99" s="209">
        <f>SUM(M100:M103)</f>
        <v>0</v>
      </c>
      <c r="N99" s="574">
        <f>IF(M$45=0,0,100*M99/M$45)</f>
        <v>0</v>
      </c>
      <c r="P99" s="51"/>
      <c r="U99" s="878"/>
      <c r="V99" s="878"/>
      <c r="W99" s="878"/>
      <c r="X99" s="879"/>
    </row>
    <row r="100" spans="3:24" x14ac:dyDescent="0.35">
      <c r="C100" s="280"/>
      <c r="D100" s="144" t="s">
        <v>532</v>
      </c>
      <c r="E100" s="864"/>
      <c r="F100" s="717"/>
      <c r="G100" s="864">
        <f t="shared" ref="G100:G103" si="36">E100+E100*P100</f>
        <v>0</v>
      </c>
      <c r="H100" s="717"/>
      <c r="I100" s="864">
        <f t="shared" ref="I100:I103" si="37">G100+G100*Q100</f>
        <v>0</v>
      </c>
      <c r="J100" s="717"/>
      <c r="K100" s="864">
        <f t="shared" ref="K100:K103" si="38">I100+I100*R100</f>
        <v>0</v>
      </c>
      <c r="L100" s="717"/>
      <c r="M100" s="864">
        <f t="shared" ref="M100:M103" si="39">K100+K100*S100</f>
        <v>0</v>
      </c>
      <c r="N100" s="682"/>
      <c r="P100" s="896">
        <v>0.03</v>
      </c>
      <c r="Q100" s="896">
        <v>0.03</v>
      </c>
      <c r="R100" s="896">
        <v>0.03</v>
      </c>
      <c r="S100" s="896">
        <v>0.03</v>
      </c>
      <c r="U100" s="878"/>
      <c r="V100" s="878"/>
      <c r="W100" s="878"/>
      <c r="X100" s="879"/>
    </row>
    <row r="101" spans="3:24" x14ac:dyDescent="0.35">
      <c r="C101" s="280"/>
      <c r="D101" s="144" t="s">
        <v>533</v>
      </c>
      <c r="E101" s="864"/>
      <c r="F101" s="676"/>
      <c r="G101" s="864">
        <f t="shared" si="36"/>
        <v>0</v>
      </c>
      <c r="H101" s="676"/>
      <c r="I101" s="864">
        <f t="shared" si="37"/>
        <v>0</v>
      </c>
      <c r="J101" s="676"/>
      <c r="K101" s="864">
        <f t="shared" si="38"/>
        <v>0</v>
      </c>
      <c r="L101" s="676"/>
      <c r="M101" s="864">
        <f t="shared" si="39"/>
        <v>0</v>
      </c>
      <c r="N101" s="683"/>
      <c r="P101" s="896">
        <v>0.03</v>
      </c>
      <c r="Q101" s="896">
        <v>0.03</v>
      </c>
      <c r="R101" s="896">
        <v>0.03</v>
      </c>
      <c r="S101" s="896">
        <v>0.03</v>
      </c>
      <c r="U101" s="878"/>
      <c r="V101" s="878"/>
      <c r="W101" s="878"/>
      <c r="X101" s="879"/>
    </row>
    <row r="102" spans="3:24" x14ac:dyDescent="0.35">
      <c r="C102" s="280"/>
      <c r="D102" s="144" t="s">
        <v>534</v>
      </c>
      <c r="E102" s="864"/>
      <c r="F102" s="676"/>
      <c r="G102" s="864">
        <f t="shared" si="36"/>
        <v>0</v>
      </c>
      <c r="H102" s="676"/>
      <c r="I102" s="864">
        <f t="shared" si="37"/>
        <v>0</v>
      </c>
      <c r="J102" s="676"/>
      <c r="K102" s="864">
        <f t="shared" si="38"/>
        <v>0</v>
      </c>
      <c r="L102" s="676"/>
      <c r="M102" s="864">
        <f t="shared" si="39"/>
        <v>0</v>
      </c>
      <c r="N102" s="683"/>
      <c r="P102" s="896">
        <v>0.03</v>
      </c>
      <c r="Q102" s="896">
        <v>0.03</v>
      </c>
      <c r="R102" s="896">
        <v>0.03</v>
      </c>
      <c r="S102" s="896">
        <v>0.03</v>
      </c>
      <c r="U102" s="878"/>
      <c r="V102" s="878"/>
      <c r="W102" s="878"/>
      <c r="X102" s="879"/>
    </row>
    <row r="103" spans="3:24" ht="15" thickBot="1" x14ac:dyDescent="0.4">
      <c r="C103" s="280"/>
      <c r="D103" s="206" t="s">
        <v>535</v>
      </c>
      <c r="E103" s="902"/>
      <c r="F103" s="715"/>
      <c r="G103" s="902">
        <f t="shared" si="36"/>
        <v>0</v>
      </c>
      <c r="H103" s="715"/>
      <c r="I103" s="902">
        <f t="shared" si="37"/>
        <v>0</v>
      </c>
      <c r="J103" s="715"/>
      <c r="K103" s="902">
        <f t="shared" si="38"/>
        <v>0</v>
      </c>
      <c r="L103" s="715"/>
      <c r="M103" s="902">
        <f t="shared" si="39"/>
        <v>0</v>
      </c>
      <c r="N103" s="716"/>
      <c r="P103" s="896">
        <v>0.03</v>
      </c>
      <c r="Q103" s="896">
        <v>0.03</v>
      </c>
      <c r="R103" s="896">
        <v>0.03</v>
      </c>
      <c r="S103" s="896">
        <v>0.03</v>
      </c>
      <c r="U103" s="878"/>
      <c r="V103" s="878"/>
      <c r="W103" s="878"/>
      <c r="X103" s="879"/>
    </row>
    <row r="104" spans="3:24" x14ac:dyDescent="0.35">
      <c r="C104" s="280"/>
      <c r="D104" s="148" t="s">
        <v>536</v>
      </c>
      <c r="E104" s="209">
        <f>SUM(E105:E107)</f>
        <v>0</v>
      </c>
      <c r="F104" s="569">
        <f>IF(E$45=0,0,100*E104/E$45)</f>
        <v>0</v>
      </c>
      <c r="G104" s="209">
        <f>SUM(G105:G107)</f>
        <v>0</v>
      </c>
      <c r="H104" s="569">
        <f>IF(G$45=0,0,100*G104/G$45)</f>
        <v>0</v>
      </c>
      <c r="I104" s="209">
        <f>SUM(I105:I107)</f>
        <v>0</v>
      </c>
      <c r="J104" s="569">
        <f>IF(I$45=0,0,100*I104/I$45)</f>
        <v>0</v>
      </c>
      <c r="K104" s="209">
        <f>SUM(K105:K107)</f>
        <v>0</v>
      </c>
      <c r="L104" s="569">
        <f>IF(K$45=0,0,100*K104/K$45)</f>
        <v>0</v>
      </c>
      <c r="M104" s="209">
        <f>SUM(M105:M107)</f>
        <v>0</v>
      </c>
      <c r="N104" s="574">
        <f>IF(M$45=0,0,100*M104/M$45)</f>
        <v>0</v>
      </c>
      <c r="P104" s="51"/>
      <c r="U104" s="878"/>
      <c r="V104" s="878"/>
      <c r="W104" s="878"/>
      <c r="X104" s="879"/>
    </row>
    <row r="105" spans="3:24" x14ac:dyDescent="0.35">
      <c r="C105" s="280"/>
      <c r="D105" s="144" t="s">
        <v>537</v>
      </c>
      <c r="E105" s="864"/>
      <c r="F105" s="717"/>
      <c r="G105" s="864">
        <f t="shared" ref="G105:G107" si="40">E105+E105*P105</f>
        <v>0</v>
      </c>
      <c r="H105" s="717"/>
      <c r="I105" s="864">
        <f t="shared" ref="I105:I107" si="41">G105+G105*Q105</f>
        <v>0</v>
      </c>
      <c r="J105" s="717"/>
      <c r="K105" s="864">
        <f t="shared" ref="K105:K107" si="42">I105+I105*R105</f>
        <v>0</v>
      </c>
      <c r="L105" s="717"/>
      <c r="M105" s="864">
        <f t="shared" ref="M105:M107" si="43">K105+K105*S105</f>
        <v>0</v>
      </c>
      <c r="N105" s="682"/>
      <c r="P105" s="896">
        <v>0.03</v>
      </c>
      <c r="Q105" s="896">
        <v>0.03</v>
      </c>
      <c r="R105" s="896">
        <v>0.03</v>
      </c>
      <c r="S105" s="896">
        <v>0.03</v>
      </c>
      <c r="U105" s="878"/>
      <c r="V105" s="878"/>
      <c r="W105" s="878"/>
      <c r="X105" s="879"/>
    </row>
    <row r="106" spans="3:24" x14ac:dyDescent="0.35">
      <c r="C106" s="280"/>
      <c r="D106" s="144" t="s">
        <v>538</v>
      </c>
      <c r="E106" s="864"/>
      <c r="F106" s="676"/>
      <c r="G106" s="864">
        <f t="shared" si="40"/>
        <v>0</v>
      </c>
      <c r="H106" s="676"/>
      <c r="I106" s="864">
        <f t="shared" si="41"/>
        <v>0</v>
      </c>
      <c r="J106" s="676"/>
      <c r="K106" s="864">
        <f t="shared" si="42"/>
        <v>0</v>
      </c>
      <c r="L106" s="676"/>
      <c r="M106" s="864">
        <f t="shared" si="43"/>
        <v>0</v>
      </c>
      <c r="N106" s="683"/>
      <c r="P106" s="896">
        <v>0.03</v>
      </c>
      <c r="Q106" s="896">
        <v>0.03</v>
      </c>
      <c r="R106" s="896">
        <v>0.03</v>
      </c>
      <c r="S106" s="896">
        <v>0.03</v>
      </c>
      <c r="U106" s="878"/>
      <c r="V106" s="878"/>
      <c r="W106" s="878"/>
      <c r="X106" s="879"/>
    </row>
    <row r="107" spans="3:24" ht="15" thickBot="1" x14ac:dyDescent="0.4">
      <c r="C107" s="280"/>
      <c r="D107" s="206" t="s">
        <v>539</v>
      </c>
      <c r="E107" s="902"/>
      <c r="F107" s="715"/>
      <c r="G107" s="902">
        <f t="shared" si="40"/>
        <v>0</v>
      </c>
      <c r="H107" s="715"/>
      <c r="I107" s="902">
        <f t="shared" si="41"/>
        <v>0</v>
      </c>
      <c r="J107" s="715"/>
      <c r="K107" s="902">
        <f t="shared" si="42"/>
        <v>0</v>
      </c>
      <c r="L107" s="715"/>
      <c r="M107" s="902">
        <f t="shared" si="43"/>
        <v>0</v>
      </c>
      <c r="N107" s="716"/>
      <c r="P107" s="896">
        <v>0.03</v>
      </c>
      <c r="Q107" s="896">
        <v>0.03</v>
      </c>
      <c r="R107" s="896">
        <v>0.03</v>
      </c>
      <c r="S107" s="896">
        <v>0.03</v>
      </c>
      <c r="U107" s="878"/>
      <c r="V107" s="878"/>
      <c r="W107" s="878"/>
      <c r="X107" s="879"/>
    </row>
    <row r="108" spans="3:24" x14ac:dyDescent="0.35">
      <c r="C108" s="280"/>
      <c r="D108" s="148" t="s">
        <v>540</v>
      </c>
      <c r="E108" s="209">
        <f>SUM(E109:E112)</f>
        <v>0</v>
      </c>
      <c r="F108" s="569">
        <f>IF(E$45=0,0,100*E108/E$45)</f>
        <v>0</v>
      </c>
      <c r="G108" s="570">
        <f>SUM(G109:G112)</f>
        <v>0</v>
      </c>
      <c r="H108" s="569">
        <f>IF(G$45=0,0,100*G108/G$45)</f>
        <v>0</v>
      </c>
      <c r="I108" s="570">
        <f>SUM(I109:I112)</f>
        <v>0</v>
      </c>
      <c r="J108" s="569">
        <f>IF(I$45=0,0,100*I108/I$45)</f>
        <v>0</v>
      </c>
      <c r="K108" s="570">
        <f>SUM(K109:K112)</f>
        <v>0</v>
      </c>
      <c r="L108" s="569">
        <f>IF(K$45=0,0,100*K108/K$45)</f>
        <v>0</v>
      </c>
      <c r="M108" s="209">
        <f>SUM(M109:M112)</f>
        <v>0</v>
      </c>
      <c r="N108" s="574">
        <f>IF(M$45=0,0,100*M108/M$45)</f>
        <v>0</v>
      </c>
      <c r="P108" s="51"/>
      <c r="U108" s="878"/>
      <c r="V108" s="878"/>
      <c r="W108" s="878"/>
      <c r="X108" s="879"/>
    </row>
    <row r="109" spans="3:24" x14ac:dyDescent="0.35">
      <c r="C109" s="280"/>
      <c r="D109" s="144" t="s">
        <v>541</v>
      </c>
      <c r="E109" s="864"/>
      <c r="F109" s="717"/>
      <c r="G109" s="864">
        <f t="shared" ref="G109:G112" si="44">E109+E109*P109</f>
        <v>0</v>
      </c>
      <c r="H109" s="717"/>
      <c r="I109" s="864">
        <f t="shared" ref="I109:I112" si="45">G109+G109*Q109</f>
        <v>0</v>
      </c>
      <c r="J109" s="717"/>
      <c r="K109" s="864">
        <f t="shared" ref="K109:K112" si="46">I109+I109*R109</f>
        <v>0</v>
      </c>
      <c r="L109" s="717"/>
      <c r="M109" s="864">
        <f t="shared" ref="M109:M112" si="47">K109+K109*S109</f>
        <v>0</v>
      </c>
      <c r="N109" s="682"/>
      <c r="P109" s="896">
        <v>0.03</v>
      </c>
      <c r="Q109" s="896">
        <v>0.03</v>
      </c>
      <c r="R109" s="896">
        <v>0.03</v>
      </c>
      <c r="S109" s="896">
        <v>0.03</v>
      </c>
      <c r="U109" s="878"/>
      <c r="V109" s="878"/>
      <c r="W109" s="878"/>
      <c r="X109" s="879"/>
    </row>
    <row r="110" spans="3:24" x14ac:dyDescent="0.35">
      <c r="C110" s="280"/>
      <c r="D110" s="144" t="s">
        <v>542</v>
      </c>
      <c r="E110" s="864"/>
      <c r="F110" s="676"/>
      <c r="G110" s="864">
        <f t="shared" si="44"/>
        <v>0</v>
      </c>
      <c r="H110" s="676"/>
      <c r="I110" s="864">
        <f t="shared" si="45"/>
        <v>0</v>
      </c>
      <c r="J110" s="676"/>
      <c r="K110" s="864">
        <f t="shared" si="46"/>
        <v>0</v>
      </c>
      <c r="L110" s="676"/>
      <c r="M110" s="864">
        <f t="shared" si="47"/>
        <v>0</v>
      </c>
      <c r="N110" s="683"/>
      <c r="P110" s="896">
        <v>0.03</v>
      </c>
      <c r="Q110" s="896">
        <v>0.03</v>
      </c>
      <c r="R110" s="896">
        <v>0.03</v>
      </c>
      <c r="S110" s="896">
        <v>0.03</v>
      </c>
      <c r="U110" s="878"/>
      <c r="V110" s="878"/>
      <c r="W110" s="878"/>
      <c r="X110" s="879"/>
    </row>
    <row r="111" spans="3:24" x14ac:dyDescent="0.35">
      <c r="C111" s="280"/>
      <c r="D111" s="144" t="s">
        <v>543</v>
      </c>
      <c r="E111" s="864"/>
      <c r="F111" s="676"/>
      <c r="G111" s="864">
        <f t="shared" si="44"/>
        <v>0</v>
      </c>
      <c r="H111" s="676"/>
      <c r="I111" s="864">
        <f t="shared" si="45"/>
        <v>0</v>
      </c>
      <c r="J111" s="676"/>
      <c r="K111" s="864">
        <f t="shared" si="46"/>
        <v>0</v>
      </c>
      <c r="L111" s="676"/>
      <c r="M111" s="864">
        <f t="shared" si="47"/>
        <v>0</v>
      </c>
      <c r="N111" s="683"/>
      <c r="P111" s="896">
        <v>0.03</v>
      </c>
      <c r="Q111" s="896">
        <v>0.03</v>
      </c>
      <c r="R111" s="896">
        <v>0.03</v>
      </c>
      <c r="S111" s="896">
        <v>0.03</v>
      </c>
      <c r="U111" s="878"/>
      <c r="V111" s="878"/>
      <c r="W111" s="878"/>
      <c r="X111" s="879"/>
    </row>
    <row r="112" spans="3:24" ht="15" thickBot="1" x14ac:dyDescent="0.4">
      <c r="C112" s="280"/>
      <c r="D112" s="206" t="s">
        <v>544</v>
      </c>
      <c r="E112" s="902"/>
      <c r="F112" s="715"/>
      <c r="G112" s="902">
        <f t="shared" si="44"/>
        <v>0</v>
      </c>
      <c r="H112" s="715"/>
      <c r="I112" s="902">
        <f t="shared" si="45"/>
        <v>0</v>
      </c>
      <c r="J112" s="715"/>
      <c r="K112" s="902">
        <f t="shared" si="46"/>
        <v>0</v>
      </c>
      <c r="L112" s="715"/>
      <c r="M112" s="902">
        <f t="shared" si="47"/>
        <v>0</v>
      </c>
      <c r="N112" s="716"/>
      <c r="P112" s="896">
        <v>0.03</v>
      </c>
      <c r="Q112" s="896">
        <v>0.03</v>
      </c>
      <c r="R112" s="896">
        <v>0.03</v>
      </c>
      <c r="S112" s="896">
        <v>0.03</v>
      </c>
      <c r="U112" s="878"/>
      <c r="V112" s="878"/>
      <c r="W112" s="878"/>
      <c r="X112" s="879"/>
    </row>
    <row r="113" spans="3:24" x14ac:dyDescent="0.35">
      <c r="C113" s="280"/>
      <c r="D113" s="148" t="s">
        <v>545</v>
      </c>
      <c r="E113" s="209">
        <f>SUM(E114:E116)</f>
        <v>0</v>
      </c>
      <c r="F113" s="569">
        <f>IF(E$45=0,0,100*E113/E$45)</f>
        <v>0</v>
      </c>
      <c r="G113" s="209">
        <f>SUM(G114:G116)</f>
        <v>0</v>
      </c>
      <c r="H113" s="569">
        <f>IF(G$45=0,0,100*G113/G$45)</f>
        <v>0</v>
      </c>
      <c r="I113" s="209">
        <f>SUM(I114:I116)</f>
        <v>0</v>
      </c>
      <c r="J113" s="569">
        <f>IF(I$45=0,0,100*I113/I$45)</f>
        <v>0</v>
      </c>
      <c r="K113" s="209">
        <f>SUM(K114:K116)</f>
        <v>0</v>
      </c>
      <c r="L113" s="569">
        <f>IF(K$45=0,0,100*K113/K$45)</f>
        <v>0</v>
      </c>
      <c r="M113" s="209">
        <f>SUM(M114:M116)</f>
        <v>0</v>
      </c>
      <c r="N113" s="574">
        <f>IF(M$45=0,0,100*M113/M$45)</f>
        <v>0</v>
      </c>
      <c r="P113" s="51"/>
      <c r="U113" s="878"/>
      <c r="V113" s="878"/>
      <c r="W113" s="878"/>
      <c r="X113" s="879"/>
    </row>
    <row r="114" spans="3:24" x14ac:dyDescent="0.35">
      <c r="C114" s="280"/>
      <c r="D114" s="144" t="s">
        <v>546</v>
      </c>
      <c r="E114" s="864"/>
      <c r="F114" s="717"/>
      <c r="G114" s="864">
        <f t="shared" ref="G114:G124" si="48">E114+E114*P114</f>
        <v>0</v>
      </c>
      <c r="H114" s="717"/>
      <c r="I114" s="864">
        <f t="shared" ref="I114:I124" si="49">G114+G114*Q114</f>
        <v>0</v>
      </c>
      <c r="J114" s="717"/>
      <c r="K114" s="864">
        <f t="shared" ref="K114:K124" si="50">I114+I114*R114</f>
        <v>0</v>
      </c>
      <c r="L114" s="717"/>
      <c r="M114" s="864">
        <f t="shared" ref="M114:M124" si="51">K114+K114*S114</f>
        <v>0</v>
      </c>
      <c r="N114" s="682"/>
      <c r="P114" s="896">
        <v>0.03</v>
      </c>
      <c r="Q114" s="896">
        <v>0.03</v>
      </c>
      <c r="R114" s="896">
        <v>0.03</v>
      </c>
      <c r="S114" s="896">
        <v>0.03</v>
      </c>
      <c r="U114" s="878"/>
      <c r="V114" s="878"/>
      <c r="W114" s="878"/>
      <c r="X114" s="879"/>
    </row>
    <row r="115" spans="3:24" x14ac:dyDescent="0.35">
      <c r="C115" s="280"/>
      <c r="D115" s="144" t="s">
        <v>547</v>
      </c>
      <c r="E115" s="864"/>
      <c r="F115" s="676"/>
      <c r="G115" s="864">
        <f t="shared" si="48"/>
        <v>0</v>
      </c>
      <c r="H115" s="676"/>
      <c r="I115" s="864">
        <f t="shared" si="49"/>
        <v>0</v>
      </c>
      <c r="J115" s="676"/>
      <c r="K115" s="864">
        <f t="shared" si="50"/>
        <v>0</v>
      </c>
      <c r="L115" s="676"/>
      <c r="M115" s="864">
        <f t="shared" si="51"/>
        <v>0</v>
      </c>
      <c r="N115" s="683"/>
      <c r="P115" s="896">
        <v>0.03</v>
      </c>
      <c r="Q115" s="896">
        <v>0.03</v>
      </c>
      <c r="R115" s="896">
        <v>0.03</v>
      </c>
      <c r="S115" s="896">
        <v>0.03</v>
      </c>
      <c r="U115" s="878"/>
      <c r="V115" s="878"/>
      <c r="W115" s="878"/>
      <c r="X115" s="879"/>
    </row>
    <row r="116" spans="3:24" ht="15" thickBot="1" x14ac:dyDescent="0.4">
      <c r="C116" s="280"/>
      <c r="D116" s="206" t="s">
        <v>548</v>
      </c>
      <c r="E116" s="902"/>
      <c r="F116" s="715"/>
      <c r="G116" s="902">
        <f t="shared" si="48"/>
        <v>0</v>
      </c>
      <c r="H116" s="715"/>
      <c r="I116" s="902">
        <f t="shared" si="49"/>
        <v>0</v>
      </c>
      <c r="J116" s="715"/>
      <c r="K116" s="902">
        <f t="shared" si="50"/>
        <v>0</v>
      </c>
      <c r="L116" s="715"/>
      <c r="M116" s="902">
        <f t="shared" si="51"/>
        <v>0</v>
      </c>
      <c r="N116" s="716"/>
      <c r="P116" s="896">
        <v>0.03</v>
      </c>
      <c r="Q116" s="896">
        <v>0.03</v>
      </c>
      <c r="R116" s="896">
        <v>0.03</v>
      </c>
      <c r="S116" s="896">
        <v>0.03</v>
      </c>
      <c r="U116" s="878"/>
      <c r="V116" s="878"/>
      <c r="W116" s="878"/>
      <c r="X116" s="879"/>
    </row>
    <row r="117" spans="3:24" ht="15" thickBot="1" x14ac:dyDescent="0.4">
      <c r="C117" s="280"/>
      <c r="D117" s="211" t="s">
        <v>549</v>
      </c>
      <c r="E117" s="902"/>
      <c r="F117" s="568">
        <f t="shared" ref="F117:F124" si="52">IF(E$45=0,0,100*E117/E$45)</f>
        <v>0</v>
      </c>
      <c r="G117" s="902">
        <f t="shared" si="48"/>
        <v>0</v>
      </c>
      <c r="H117" s="568">
        <f t="shared" ref="H117:H124" si="53">IF(G$45=0,0,100*G117/G$45)</f>
        <v>0</v>
      </c>
      <c r="I117" s="902">
        <f t="shared" si="49"/>
        <v>0</v>
      </c>
      <c r="J117" s="568">
        <f t="shared" ref="J117:J124" si="54">IF(I$45=0,0,100*I117/I$45)</f>
        <v>0</v>
      </c>
      <c r="K117" s="902">
        <f t="shared" si="50"/>
        <v>0</v>
      </c>
      <c r="L117" s="568">
        <f t="shared" ref="L117:L124" si="55">IF(K$45=0,0,100*K117/K$45)</f>
        <v>0</v>
      </c>
      <c r="M117" s="902">
        <f t="shared" si="51"/>
        <v>0</v>
      </c>
      <c r="N117" s="572">
        <f t="shared" ref="N117:N124" si="56">IF(M$45=0,0,100*M117/M$45)</f>
        <v>0</v>
      </c>
      <c r="P117" s="896">
        <v>0.03</v>
      </c>
      <c r="Q117" s="896">
        <v>0.03</v>
      </c>
      <c r="R117" s="896">
        <v>0.03</v>
      </c>
      <c r="S117" s="896">
        <v>0.03</v>
      </c>
      <c r="U117" s="878"/>
      <c r="V117" s="878"/>
      <c r="W117" s="878"/>
      <c r="X117" s="879"/>
    </row>
    <row r="118" spans="3:24" ht="15" thickBot="1" x14ac:dyDescent="0.4">
      <c r="C118" s="280"/>
      <c r="D118" s="210" t="s">
        <v>550</v>
      </c>
      <c r="E118" s="902"/>
      <c r="F118" s="568">
        <f t="shared" si="52"/>
        <v>0</v>
      </c>
      <c r="G118" s="902">
        <f t="shared" si="48"/>
        <v>0</v>
      </c>
      <c r="H118" s="568">
        <f t="shared" si="53"/>
        <v>0</v>
      </c>
      <c r="I118" s="902">
        <f t="shared" si="49"/>
        <v>0</v>
      </c>
      <c r="J118" s="568">
        <f t="shared" si="54"/>
        <v>0</v>
      </c>
      <c r="K118" s="902">
        <f t="shared" si="50"/>
        <v>0</v>
      </c>
      <c r="L118" s="568">
        <f t="shared" si="55"/>
        <v>0</v>
      </c>
      <c r="M118" s="902">
        <f t="shared" si="51"/>
        <v>0</v>
      </c>
      <c r="N118" s="572">
        <f t="shared" si="56"/>
        <v>0</v>
      </c>
      <c r="P118" s="896">
        <v>0.03</v>
      </c>
      <c r="Q118" s="896">
        <v>0.03</v>
      </c>
      <c r="R118" s="896">
        <v>0.03</v>
      </c>
      <c r="S118" s="896">
        <v>0.03</v>
      </c>
      <c r="U118" s="878"/>
      <c r="V118" s="878"/>
      <c r="W118" s="878"/>
      <c r="X118" s="879"/>
    </row>
    <row r="119" spans="3:24" ht="15" thickBot="1" x14ac:dyDescent="0.4">
      <c r="C119" s="280"/>
      <c r="D119" s="210" t="s">
        <v>551</v>
      </c>
      <c r="E119" s="902"/>
      <c r="F119" s="568">
        <f t="shared" si="52"/>
        <v>0</v>
      </c>
      <c r="G119" s="902">
        <f t="shared" si="48"/>
        <v>0</v>
      </c>
      <c r="H119" s="568">
        <f t="shared" si="53"/>
        <v>0</v>
      </c>
      <c r="I119" s="902">
        <f t="shared" si="49"/>
        <v>0</v>
      </c>
      <c r="J119" s="568">
        <f t="shared" si="54"/>
        <v>0</v>
      </c>
      <c r="K119" s="902">
        <f t="shared" si="50"/>
        <v>0</v>
      </c>
      <c r="L119" s="568">
        <f t="shared" si="55"/>
        <v>0</v>
      </c>
      <c r="M119" s="902">
        <f t="shared" si="51"/>
        <v>0</v>
      </c>
      <c r="N119" s="572">
        <f t="shared" si="56"/>
        <v>0</v>
      </c>
      <c r="P119" s="896">
        <v>0.03</v>
      </c>
      <c r="Q119" s="896">
        <v>0.03</v>
      </c>
      <c r="R119" s="896">
        <v>0.03</v>
      </c>
      <c r="S119" s="896">
        <v>0.03</v>
      </c>
      <c r="U119" s="878"/>
      <c r="V119" s="878"/>
      <c r="W119" s="878"/>
      <c r="X119" s="879"/>
    </row>
    <row r="120" spans="3:24" ht="15" thickBot="1" x14ac:dyDescent="0.4">
      <c r="C120" s="280"/>
      <c r="D120" s="210" t="s">
        <v>880</v>
      </c>
      <c r="E120" s="902"/>
      <c r="F120" s="568">
        <f t="shared" si="52"/>
        <v>0</v>
      </c>
      <c r="G120" s="902">
        <f>E120</f>
        <v>0</v>
      </c>
      <c r="H120" s="568">
        <f t="shared" si="53"/>
        <v>0</v>
      </c>
      <c r="I120" s="902">
        <f>G120</f>
        <v>0</v>
      </c>
      <c r="J120" s="568">
        <f t="shared" si="54"/>
        <v>0</v>
      </c>
      <c r="K120" s="902">
        <f>I120</f>
        <v>0</v>
      </c>
      <c r="L120" s="568">
        <f t="shared" si="55"/>
        <v>0</v>
      </c>
      <c r="M120" s="902">
        <f>K120</f>
        <v>0</v>
      </c>
      <c r="N120" s="572">
        <f t="shared" si="56"/>
        <v>0</v>
      </c>
      <c r="P120" s="51"/>
      <c r="U120" s="878"/>
      <c r="V120" s="878"/>
      <c r="W120" s="878"/>
      <c r="X120" s="879"/>
    </row>
    <row r="121" spans="3:24" ht="15" thickBot="1" x14ac:dyDescent="0.4">
      <c r="C121" s="280"/>
      <c r="D121" s="210" t="s">
        <v>552</v>
      </c>
      <c r="E121" s="902"/>
      <c r="F121" s="568">
        <f t="shared" si="52"/>
        <v>0</v>
      </c>
      <c r="G121" s="902">
        <f t="shared" si="48"/>
        <v>0</v>
      </c>
      <c r="H121" s="568">
        <f t="shared" si="53"/>
        <v>0</v>
      </c>
      <c r="I121" s="902">
        <f t="shared" si="49"/>
        <v>0</v>
      </c>
      <c r="J121" s="568">
        <f t="shared" si="54"/>
        <v>0</v>
      </c>
      <c r="K121" s="902">
        <f t="shared" si="50"/>
        <v>0</v>
      </c>
      <c r="L121" s="568">
        <f t="shared" si="55"/>
        <v>0</v>
      </c>
      <c r="M121" s="902">
        <f t="shared" si="51"/>
        <v>0</v>
      </c>
      <c r="N121" s="572">
        <f t="shared" si="56"/>
        <v>0</v>
      </c>
      <c r="P121" s="896">
        <v>0.03</v>
      </c>
      <c r="Q121" s="896">
        <v>0.03</v>
      </c>
      <c r="R121" s="896">
        <v>0.03</v>
      </c>
      <c r="S121" s="896">
        <v>0.03</v>
      </c>
      <c r="U121" s="878"/>
      <c r="V121" s="878"/>
      <c r="W121" s="878"/>
      <c r="X121" s="879"/>
    </row>
    <row r="122" spans="3:24" ht="15" thickBot="1" x14ac:dyDescent="0.4">
      <c r="C122" s="280"/>
      <c r="D122" s="210" t="s">
        <v>553</v>
      </c>
      <c r="E122" s="902"/>
      <c r="F122" s="568">
        <f t="shared" si="52"/>
        <v>0</v>
      </c>
      <c r="G122" s="902">
        <f t="shared" si="48"/>
        <v>0</v>
      </c>
      <c r="H122" s="568">
        <f t="shared" si="53"/>
        <v>0</v>
      </c>
      <c r="I122" s="902">
        <f t="shared" si="49"/>
        <v>0</v>
      </c>
      <c r="J122" s="568">
        <f t="shared" si="54"/>
        <v>0</v>
      </c>
      <c r="K122" s="902">
        <f t="shared" si="50"/>
        <v>0</v>
      </c>
      <c r="L122" s="568">
        <f t="shared" si="55"/>
        <v>0</v>
      </c>
      <c r="M122" s="902">
        <f t="shared" si="51"/>
        <v>0</v>
      </c>
      <c r="N122" s="572">
        <f t="shared" si="56"/>
        <v>0</v>
      </c>
      <c r="P122" s="896">
        <v>0.03</v>
      </c>
      <c r="Q122" s="896">
        <v>0.03</v>
      </c>
      <c r="R122" s="896">
        <v>0.03</v>
      </c>
      <c r="S122" s="896">
        <v>0.03</v>
      </c>
      <c r="U122" s="878"/>
      <c r="V122" s="878"/>
      <c r="W122" s="878"/>
      <c r="X122" s="879"/>
    </row>
    <row r="123" spans="3:24" ht="15" thickBot="1" x14ac:dyDescent="0.4">
      <c r="C123" s="280"/>
      <c r="D123" s="210" t="s">
        <v>554</v>
      </c>
      <c r="E123" s="902"/>
      <c r="F123" s="568">
        <f t="shared" si="52"/>
        <v>0</v>
      </c>
      <c r="G123" s="902">
        <f t="shared" si="48"/>
        <v>0</v>
      </c>
      <c r="H123" s="568">
        <f t="shared" si="53"/>
        <v>0</v>
      </c>
      <c r="I123" s="902">
        <f t="shared" si="49"/>
        <v>0</v>
      </c>
      <c r="J123" s="568">
        <f t="shared" si="54"/>
        <v>0</v>
      </c>
      <c r="K123" s="902">
        <f t="shared" si="50"/>
        <v>0</v>
      </c>
      <c r="L123" s="568">
        <f t="shared" si="55"/>
        <v>0</v>
      </c>
      <c r="M123" s="902">
        <f t="shared" si="51"/>
        <v>0</v>
      </c>
      <c r="N123" s="572">
        <f t="shared" si="56"/>
        <v>0</v>
      </c>
      <c r="P123" s="896">
        <v>0.03</v>
      </c>
      <c r="Q123" s="896">
        <v>0.03</v>
      </c>
      <c r="R123" s="896">
        <v>0.03</v>
      </c>
      <c r="S123" s="896">
        <v>0.03</v>
      </c>
      <c r="U123" s="878"/>
      <c r="V123" s="878"/>
      <c r="W123" s="878"/>
      <c r="X123" s="879"/>
    </row>
    <row r="124" spans="3:24" ht="15" thickBot="1" x14ac:dyDescent="0.4">
      <c r="C124" s="280"/>
      <c r="D124" s="210" t="s">
        <v>555</v>
      </c>
      <c r="E124" s="902"/>
      <c r="F124" s="568">
        <f t="shared" si="52"/>
        <v>0</v>
      </c>
      <c r="G124" s="902">
        <f t="shared" si="48"/>
        <v>0</v>
      </c>
      <c r="H124" s="568">
        <f t="shared" si="53"/>
        <v>0</v>
      </c>
      <c r="I124" s="902">
        <f t="shared" si="49"/>
        <v>0</v>
      </c>
      <c r="J124" s="568">
        <f t="shared" si="54"/>
        <v>0</v>
      </c>
      <c r="K124" s="902">
        <f t="shared" si="50"/>
        <v>0</v>
      </c>
      <c r="L124" s="568">
        <f t="shared" si="55"/>
        <v>0</v>
      </c>
      <c r="M124" s="902">
        <f t="shared" si="51"/>
        <v>0</v>
      </c>
      <c r="N124" s="572">
        <f t="shared" si="56"/>
        <v>0</v>
      </c>
      <c r="P124" s="896">
        <v>0.03</v>
      </c>
      <c r="Q124" s="896">
        <v>0.03</v>
      </c>
      <c r="R124" s="896">
        <v>0.03</v>
      </c>
      <c r="S124" s="896">
        <v>0.03</v>
      </c>
      <c r="T124" s="3"/>
      <c r="U124" s="883"/>
      <c r="V124" s="883"/>
      <c r="W124" s="883"/>
      <c r="X124" s="884"/>
    </row>
    <row r="125" spans="3:24" ht="15" thickBot="1" x14ac:dyDescent="0.4">
      <c r="C125" s="719" t="s">
        <v>278</v>
      </c>
      <c r="D125" s="720" t="s">
        <v>83</v>
      </c>
      <c r="E125" s="721">
        <f>E11+E31+E45</f>
        <v>0</v>
      </c>
      <c r="F125" s="722"/>
      <c r="G125" s="721">
        <f>G11+G31+G45</f>
        <v>0</v>
      </c>
      <c r="H125" s="718"/>
      <c r="I125" s="721">
        <f>I11+I31+I45</f>
        <v>0</v>
      </c>
      <c r="J125" s="718"/>
      <c r="K125" s="721">
        <f>K11+K31+K45</f>
        <v>0</v>
      </c>
      <c r="L125" s="722"/>
      <c r="M125" s="721">
        <f>M11+M31+M45</f>
        <v>0</v>
      </c>
      <c r="N125" s="723"/>
    </row>
    <row r="127" spans="3:24" x14ac:dyDescent="0.35">
      <c r="D127" s="754" t="s">
        <v>881</v>
      </c>
    </row>
    <row r="130" spans="4:4" x14ac:dyDescent="0.35">
      <c r="D130" s="197" t="s">
        <v>578</v>
      </c>
    </row>
    <row r="131" spans="4:4" x14ac:dyDescent="0.35">
      <c r="D131" s="984" t="s">
        <v>579</v>
      </c>
    </row>
    <row r="132" spans="4:4" x14ac:dyDescent="0.35">
      <c r="D132" s="984"/>
    </row>
    <row r="133" spans="4:4" x14ac:dyDescent="0.35">
      <c r="D133" s="984"/>
    </row>
  </sheetData>
  <sheetProtection algorithmName="SHA-512" hashValue="iI9eZ2eYi6Kl+k+ywFT/O23ZQwpByUDim/26l6cwcJeHPmB22b8KUPuc6DIr/8obtGi9hNVLHzeIRGbfpAMkmA==" saltValue="CdT1ZMIjCRrLtJ6x+Z4slQ==" spinCount="100000" sheet="1" objects="1" scenarios="1" formatCells="0" selectLockedCells="1"/>
  <mergeCells count="14">
    <mergeCell ref="P11:S11"/>
    <mergeCell ref="E8:F8"/>
    <mergeCell ref="G8:H8"/>
    <mergeCell ref="I8:J8"/>
    <mergeCell ref="K8:L8"/>
    <mergeCell ref="M8:N8"/>
    <mergeCell ref="M5:N5"/>
    <mergeCell ref="G5:K5"/>
    <mergeCell ref="D131:D133"/>
    <mergeCell ref="E7:F7"/>
    <mergeCell ref="G7:H7"/>
    <mergeCell ref="I7:J7"/>
    <mergeCell ref="K7:L7"/>
    <mergeCell ref="M7:N7"/>
  </mergeCells>
  <pageMargins left="0.7" right="0.7" top="0.75" bottom="0.75" header="0.3" footer="0.3"/>
  <ignoredErrors>
    <ignoredError sqref="I22:N23 H11 I11:N11 H31 O44 O45 J25 L25 N25 I28:N29 J24 L24 N24 N44 L44 J44 K44 M44 H44:I44 J30 L30 N30 N34 L34 J34 I35:N37 M39 K39 I42:M42 I43:M43 I40:N40 N41 N42 N43 L41 J41 I41 K41 M41 I39:J39 L39 N39 N38 L38 J38 I32:N33 J31 L31 N31 I34 I31 M31 K31 I38 K38 M38 K34 M34 F45:F46 H46 H45:N45 G46 G45 I46:N46 M113 K113 I113 G113 M108 K108 I108 G108 M104 K104 I104 G104 M99 K99 I99 G99 M94 K94 I94 G94 M74 K74 I74 G74 M69 K69 I69 G69 M63 K63 I63 G63 M52 K52 I52 G52 G125 G114:N116 G109:N112 G100:N103 G95:N98 N90:N93 L90:L93 J90:J93 H90:H93 M88 K88 I88 G88 G89:N89 M79 K79 I79 G79 G80:N82 G76:N78 G71:N71 G65:N68 G54:M60 F52 F63 F53:F62 N53:N62 F64:F68 F74:F79 F83:N83 F80:F82 H79 J79 L79 N79 F94 F89 F88 H88 J88 L88 N88 F90:G93 I90:I93 K90:K93 M90:M93 F99 F95:F98 F105:N107 F100:F103 F113 F109:F112 G119 F114:F116 F125 H52 J52 L52 N52 H63 J63 L63 N63 H69 J69 L69 N69 H74 J74 L74 N74 H94 J94 L94 N94 H99 J99 L99 N99 F104 H104 J104 L104 N104 F108 H108 J108 L108 N108 H113 J113 L113 N113 F86 H86 H87 J87 J86 L86 N86 L87 N87 G85:N85 G84:N84 F69:F73 G117 G118 I117 I118 I119 G120 G121 G122 G123 G124 K117 K118 K119 M117 M118 M119 M124 M123 M122 M121 M120 K124 K123 K122 K121 K120 I124 I123 I122 I121 I120 H125:N125 H124 H120 J120 H121 J121 H122 J122 H123 J123 J124 L120 L121 L122 L123 L124 N120 N121 N122 N123 N124 H53:M53 H64 H70 J70 L70 N70 H75 G73:N73 H72:N72 J64 L64 N64 G62:M62 H61:M61 J75 L75 N75" formula="1"/>
    <ignoredError sqref="F84 F85 M87 K87 M86 K86 I86 I87 G87 G86" formula="1" formulaRange="1"/>
    <ignoredError sqref="E83 E113" formulaRange="1"/>
  </ignoredErrors>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D7A35-22DF-4AAE-B6AB-7ADB06FF290B}">
  <sheetPr codeName="Sheet7">
    <tabColor theme="7" tint="0.79998168889431442"/>
  </sheetPr>
  <dimension ref="B2:G19"/>
  <sheetViews>
    <sheetView workbookViewId="0">
      <selection activeCell="G2" sqref="G2"/>
    </sheetView>
  </sheetViews>
  <sheetFormatPr defaultColWidth="9.1796875" defaultRowHeight="14.5" x14ac:dyDescent="0.35"/>
  <cols>
    <col min="1" max="1" width="2.7265625" style="5" customWidth="1"/>
    <col min="2" max="2" width="50.7265625" style="5" customWidth="1"/>
    <col min="3" max="3" width="10.7265625" style="342" customWidth="1"/>
    <col min="4" max="7" width="12.7265625" style="5" customWidth="1"/>
    <col min="8" max="16384" width="9.1796875" style="5"/>
  </cols>
  <sheetData>
    <row r="2" spans="2:7" ht="21" x14ac:dyDescent="0.5">
      <c r="B2" s="16" t="s">
        <v>964</v>
      </c>
    </row>
    <row r="4" spans="2:7" x14ac:dyDescent="0.35">
      <c r="D4" s="457" t="str">
        <f>'2 &amp; 7 TULOSSUUNNITELMA'!J7</f>
        <v>Ennuste 1</v>
      </c>
      <c r="E4" s="457" t="str">
        <f>'2 &amp; 7 TULOSSUUNNITELMA'!L7</f>
        <v>Ennuste 2</v>
      </c>
      <c r="F4" s="457" t="str">
        <f>'2 &amp; 7 TULOSSUUNNITELMA'!N7</f>
        <v>Ennuste 3</v>
      </c>
      <c r="G4" s="457" t="str">
        <f>'2 &amp; 7 TULOSSUUNNITELMA'!P7</f>
        <v>Ennuste 4</v>
      </c>
    </row>
    <row r="5" spans="2:7" x14ac:dyDescent="0.35">
      <c r="B5" s="423" t="s">
        <v>764</v>
      </c>
      <c r="C5" s="456" t="s">
        <v>376</v>
      </c>
      <c r="D5" s="423">
        <f>'2 &amp; 7 TULOSSUUNNITELMA'!J8</f>
        <v>2026</v>
      </c>
      <c r="E5" s="423">
        <f>'2 &amp; 7 TULOSSUUNNITELMA'!L8</f>
        <v>2027</v>
      </c>
      <c r="F5" s="423">
        <f>'2 &amp; 7 TULOSSUUNNITELMA'!N8</f>
        <v>2028</v>
      </c>
      <c r="G5" s="423">
        <f>'2 &amp; 7 TULOSSUUNNITELMA'!P8</f>
        <v>2029</v>
      </c>
    </row>
    <row r="6" spans="2:7" x14ac:dyDescent="0.35">
      <c r="B6" s="53" t="s">
        <v>759</v>
      </c>
      <c r="C6" s="399">
        <v>0</v>
      </c>
      <c r="D6" s="151">
        <f>'5 KUSTANNUKSET'!G47+'5 KUSTANNUKSET'!G50+'5 KUSTANNUKSET'!G54+'5 KUSTANNUKSET'!G55+'5 KUSTANNUKSET'!G56+'5 KUSTANNUKSET'!G57+'5 KUSTANNUKSET'!G58+'5 KUSTANNUKSET'!G59+'5 KUSTANNUKSET'!G60+'5 KUSTANNUKSET'!G61+'5 KUSTANNUKSET'!G64+'5 KUSTANNUKSET'!G65+'5 KUSTANNUKSET'!G66+'5 KUSTANNUKSET'!G68+'5 KUSTANNUKSET'!G69+'5 KUSTANNUKSET'!G74+'5 KUSTANNUKSET'!G87+'5 KUSTANNUKSET'!G88+'5 KUSTANNUKSET'!G95+'5 KUSTANNUKSET'!G97+'5 KUSTANNUKSET'!G98+'5 KUSTANNUKSET'!G100+'5 KUSTANNUKSET'!G101+'5 KUSTANNUKSET'!G102+'5 KUSTANNUKSET'!G109+'5 KUSTANNUKSET'!G110+'5 KUSTANNUKSET'!G117+'5 KUSTANNUKSET'!G118+'5 KUSTANNUKSET'!G121+'5 KUSTANNUKSET'!G123</f>
        <v>0</v>
      </c>
      <c r="E6" s="151">
        <f>'5 KUSTANNUKSET'!I47+'5 KUSTANNUKSET'!I50+'5 KUSTANNUKSET'!I54+'5 KUSTANNUKSET'!I55+'5 KUSTANNUKSET'!I56+'5 KUSTANNUKSET'!I57+'5 KUSTANNUKSET'!I58+'5 KUSTANNUKSET'!I59+'5 KUSTANNUKSET'!I60+'5 KUSTANNUKSET'!I61+'5 KUSTANNUKSET'!I64+'5 KUSTANNUKSET'!I65+'5 KUSTANNUKSET'!I66+'5 KUSTANNUKSET'!I68+'5 KUSTANNUKSET'!I69+'5 KUSTANNUKSET'!I74+'5 KUSTANNUKSET'!I87+'5 KUSTANNUKSET'!I88+'5 KUSTANNUKSET'!I95+'5 KUSTANNUKSET'!I97+'5 KUSTANNUKSET'!I98+'5 KUSTANNUKSET'!I100+'5 KUSTANNUKSET'!I101+'5 KUSTANNUKSET'!I102+'5 KUSTANNUKSET'!I109+'5 KUSTANNUKSET'!I110+'5 KUSTANNUKSET'!I117+'5 KUSTANNUKSET'!I118+'5 KUSTANNUKSET'!I121+'5 KUSTANNUKSET'!I123</f>
        <v>0</v>
      </c>
      <c r="F6" s="151">
        <f>'5 KUSTANNUKSET'!K47+'5 KUSTANNUKSET'!K50+'5 KUSTANNUKSET'!K54+'5 KUSTANNUKSET'!K55+'5 KUSTANNUKSET'!K56+'5 KUSTANNUKSET'!K57+'5 KUSTANNUKSET'!K58+'5 KUSTANNUKSET'!K59+'5 KUSTANNUKSET'!K60+'5 KUSTANNUKSET'!K61+'5 KUSTANNUKSET'!K64+'5 KUSTANNUKSET'!K65+'5 KUSTANNUKSET'!K66+'5 KUSTANNUKSET'!K68+'5 KUSTANNUKSET'!K69+'5 KUSTANNUKSET'!K74+'5 KUSTANNUKSET'!K87+'5 KUSTANNUKSET'!K88+'5 KUSTANNUKSET'!K95+'5 KUSTANNUKSET'!K97+'5 KUSTANNUKSET'!K98+'5 KUSTANNUKSET'!K100+'5 KUSTANNUKSET'!K101+'5 KUSTANNUKSET'!K102+'5 KUSTANNUKSET'!K109+'5 KUSTANNUKSET'!K110+'5 KUSTANNUKSET'!K117+'5 KUSTANNUKSET'!K118+'5 KUSTANNUKSET'!K121+'5 KUSTANNUKSET'!K123</f>
        <v>0</v>
      </c>
      <c r="G6" s="151">
        <f>'5 KUSTANNUKSET'!M47+'5 KUSTANNUKSET'!M50+'5 KUSTANNUKSET'!M54+'5 KUSTANNUKSET'!M55+'5 KUSTANNUKSET'!M56+'5 KUSTANNUKSET'!M57+'5 KUSTANNUKSET'!M58+'5 KUSTANNUKSET'!M59+'5 KUSTANNUKSET'!M60+'5 KUSTANNUKSET'!M61+'5 KUSTANNUKSET'!M64+'5 KUSTANNUKSET'!M65+'5 KUSTANNUKSET'!M66+'5 KUSTANNUKSET'!M68+'5 KUSTANNUKSET'!M69+'5 KUSTANNUKSET'!M74+'5 KUSTANNUKSET'!M87+'5 KUSTANNUKSET'!M88+'5 KUSTANNUKSET'!M95+'5 KUSTANNUKSET'!M97+'5 KUSTANNUKSET'!M98+'5 KUSTANNUKSET'!M100+'5 KUSTANNUKSET'!M101+'5 KUSTANNUKSET'!M102+'5 KUSTANNUKSET'!M109+'5 KUSTANNUKSET'!M110+'5 KUSTANNUKSET'!M117+'5 KUSTANNUKSET'!M118+'5 KUSTANNUKSET'!M121+'5 KUSTANNUKSET'!M123</f>
        <v>0</v>
      </c>
    </row>
    <row r="7" spans="2:7" x14ac:dyDescent="0.35">
      <c r="B7" s="53" t="s">
        <v>759</v>
      </c>
      <c r="C7" s="399">
        <v>0.255</v>
      </c>
      <c r="D7" s="151">
        <f>D6+D6*$C7</f>
        <v>0</v>
      </c>
      <c r="E7" s="151">
        <f t="shared" ref="E7:G7" si="0">E6+E6*$C7</f>
        <v>0</v>
      </c>
      <c r="F7" s="151">
        <f t="shared" si="0"/>
        <v>0</v>
      </c>
      <c r="G7" s="151">
        <f t="shared" si="0"/>
        <v>0</v>
      </c>
    </row>
    <row r="8" spans="2:7" x14ac:dyDescent="0.35">
      <c r="B8" s="53" t="s">
        <v>760</v>
      </c>
      <c r="C8" s="399">
        <v>0</v>
      </c>
      <c r="D8" s="151">
        <f>'5 KUSTANNUKSET'!G105+'5 KUSTANNUKSET'!G80+'5 KUSTANNUKSET'!G82</f>
        <v>0</v>
      </c>
      <c r="E8" s="151">
        <f>'5 KUSTANNUKSET'!I105+'5 KUSTANNUKSET'!I80+'5 KUSTANNUKSET'!I82</f>
        <v>0</v>
      </c>
      <c r="F8" s="151">
        <f>'5 KUSTANNUKSET'!K105+'5 KUSTANNUKSET'!K80+'5 KUSTANNUKSET'!K82</f>
        <v>0</v>
      </c>
      <c r="G8" s="151">
        <f>'5 KUSTANNUKSET'!M105+'5 KUSTANNUKSET'!M80+'5 KUSTANNUKSET'!M82</f>
        <v>0</v>
      </c>
    </row>
    <row r="9" spans="2:7" x14ac:dyDescent="0.35">
      <c r="B9" s="53" t="s">
        <v>760</v>
      </c>
      <c r="C9" s="399">
        <v>0.13500000000000001</v>
      </c>
      <c r="D9" s="151">
        <f>D8+D8*$C9</f>
        <v>0</v>
      </c>
      <c r="E9" s="151">
        <f t="shared" ref="E9:G9" si="1">E8+E8*$C9</f>
        <v>0</v>
      </c>
      <c r="F9" s="151">
        <f t="shared" si="1"/>
        <v>0</v>
      </c>
      <c r="G9" s="151">
        <f t="shared" si="1"/>
        <v>0</v>
      </c>
    </row>
    <row r="10" spans="2:7" x14ac:dyDescent="0.35">
      <c r="B10" s="53" t="s">
        <v>761</v>
      </c>
      <c r="C10" s="399">
        <v>0</v>
      </c>
      <c r="D10" s="151">
        <f>'5 KUSTANNUKSET'!G106</f>
        <v>0</v>
      </c>
      <c r="E10" s="151">
        <f>'5 KUSTANNUKSET'!I106</f>
        <v>0</v>
      </c>
      <c r="F10" s="151">
        <f>'5 KUSTANNUKSET'!K106</f>
        <v>0</v>
      </c>
      <c r="G10" s="151">
        <f>'5 KUSTANNUKSET'!M106</f>
        <v>0</v>
      </c>
    </row>
    <row r="11" spans="2:7" x14ac:dyDescent="0.35">
      <c r="B11" s="53" t="s">
        <v>761</v>
      </c>
      <c r="C11" s="399">
        <v>0.1</v>
      </c>
      <c r="D11" s="151">
        <f>D10+D10*$C11</f>
        <v>0</v>
      </c>
      <c r="E11" s="151">
        <f t="shared" ref="E11:G11" si="2">E10+E10*$C11</f>
        <v>0</v>
      </c>
      <c r="F11" s="151">
        <f t="shared" si="2"/>
        <v>0</v>
      </c>
      <c r="G11" s="151">
        <f t="shared" si="2"/>
        <v>0</v>
      </c>
    </row>
    <row r="12" spans="2:7" x14ac:dyDescent="0.35">
      <c r="B12" s="53" t="s">
        <v>762</v>
      </c>
      <c r="C12" s="399"/>
      <c r="D12" s="661">
        <f>D7+D9+D11</f>
        <v>0</v>
      </c>
      <c r="E12" s="661">
        <f t="shared" ref="E12:G12" si="3">E7+E9+E11</f>
        <v>0</v>
      </c>
      <c r="F12" s="661">
        <f t="shared" si="3"/>
        <v>0</v>
      </c>
      <c r="G12" s="661">
        <f t="shared" si="3"/>
        <v>0</v>
      </c>
    </row>
    <row r="13" spans="2:7" x14ac:dyDescent="0.35">
      <c r="B13" s="53" t="s">
        <v>763</v>
      </c>
      <c r="C13" s="399"/>
      <c r="D13" s="661">
        <f>D6+D8+D10</f>
        <v>0</v>
      </c>
      <c r="E13" s="661">
        <f t="shared" ref="E13:G13" si="4">E6+E8+E10</f>
        <v>0</v>
      </c>
      <c r="F13" s="661">
        <f t="shared" si="4"/>
        <v>0</v>
      </c>
      <c r="G13" s="661">
        <f t="shared" si="4"/>
        <v>0</v>
      </c>
    </row>
    <row r="14" spans="2:7" x14ac:dyDescent="0.35">
      <c r="B14" s="53" t="s">
        <v>765</v>
      </c>
      <c r="C14" s="368"/>
      <c r="D14" s="756">
        <f>IF(D13=0,0,D15/D13)</f>
        <v>0</v>
      </c>
      <c r="E14" s="756">
        <f t="shared" ref="E14:G14" si="5">IF(E13=0,0,E15/E13)</f>
        <v>0</v>
      </c>
      <c r="F14" s="756">
        <f t="shared" si="5"/>
        <v>0</v>
      </c>
      <c r="G14" s="756">
        <f t="shared" si="5"/>
        <v>0</v>
      </c>
    </row>
    <row r="15" spans="2:7" x14ac:dyDescent="0.35">
      <c r="B15" s="96" t="s">
        <v>766</v>
      </c>
      <c r="C15" s="367"/>
      <c r="D15" s="162">
        <f>D7+D9+D11-D6-D8-D10</f>
        <v>0</v>
      </c>
      <c r="E15" s="162">
        <f t="shared" ref="E15:G15" si="6">E7+E9+E11-E6-E8-E10</f>
        <v>0</v>
      </c>
      <c r="F15" s="162">
        <f t="shared" si="6"/>
        <v>0</v>
      </c>
      <c r="G15" s="162">
        <f t="shared" si="6"/>
        <v>0</v>
      </c>
    </row>
    <row r="16" spans="2:7" x14ac:dyDescent="0.35">
      <c r="B16" s="53" t="s">
        <v>767</v>
      </c>
      <c r="C16" s="368"/>
      <c r="D16" s="151">
        <f>'5 KUSTANNUKSET'!G48+'5 KUSTANNUKSET'!G49+'5 KUSTANNUKSET'!G51+'5 KUSTANNUKSET'!G61+'5 KUSTANNUKSET'!G62+'5 KUSTANNUKSET'!G67+'5 KUSTANNUKSET'!G81+'5 KUSTANNUKSET'!G83+'5 KUSTANNUKSET'!G86+'5 KUSTANNUKSET'!G96+'5 KUSTANNUKSET'!G103+'5 KUSTANNUKSET'!G107+'5 KUSTANNUKSET'!G111+'5 KUSTANNUKSET'!G112+'5 KUSTANNUKSET'!G113+'5 KUSTANNUKSET'!G119+'5 KUSTANNUKSET'!G124</f>
        <v>0</v>
      </c>
      <c r="E16" s="151">
        <f>'5 KUSTANNUKSET'!I48+'5 KUSTANNUKSET'!I49+'5 KUSTANNUKSET'!I51+'5 KUSTANNUKSET'!I61+'5 KUSTANNUKSET'!I62+'5 KUSTANNUKSET'!I67+'5 KUSTANNUKSET'!I81+'5 KUSTANNUKSET'!I83+'5 KUSTANNUKSET'!I86+'5 KUSTANNUKSET'!I96+'5 KUSTANNUKSET'!I103+'5 KUSTANNUKSET'!I107+'5 KUSTANNUKSET'!I111+'5 KUSTANNUKSET'!I112+'5 KUSTANNUKSET'!I113+'5 KUSTANNUKSET'!I119+'5 KUSTANNUKSET'!I124</f>
        <v>0</v>
      </c>
      <c r="F16" s="151">
        <f>'5 KUSTANNUKSET'!K48+'5 KUSTANNUKSET'!K49+'5 KUSTANNUKSET'!K51+'5 KUSTANNUKSET'!K61+'5 KUSTANNUKSET'!K62+'5 KUSTANNUKSET'!K67+'5 KUSTANNUKSET'!K81+'5 KUSTANNUKSET'!K83+'5 KUSTANNUKSET'!K86+'5 KUSTANNUKSET'!K96+'5 KUSTANNUKSET'!K103+'5 KUSTANNUKSET'!K107+'5 KUSTANNUKSET'!K111+'5 KUSTANNUKSET'!K112+'5 KUSTANNUKSET'!K113+'5 KUSTANNUKSET'!K119+'5 KUSTANNUKSET'!K124</f>
        <v>0</v>
      </c>
      <c r="G16" s="151">
        <f>'5 KUSTANNUKSET'!M48+'5 KUSTANNUKSET'!M49+'5 KUSTANNUKSET'!M51+'5 KUSTANNUKSET'!M61+'5 KUSTANNUKSET'!M62+'5 KUSTANNUKSET'!M67+'5 KUSTANNUKSET'!M81+'5 KUSTANNUKSET'!M83+'5 KUSTANNUKSET'!M86+'5 KUSTANNUKSET'!M96+'5 KUSTANNUKSET'!M103+'5 KUSTANNUKSET'!M107+'5 KUSTANNUKSET'!M111+'5 KUSTANNUKSET'!M112+'5 KUSTANNUKSET'!M113+'5 KUSTANNUKSET'!M119+'5 KUSTANNUKSET'!M124</f>
        <v>0</v>
      </c>
    </row>
    <row r="19" spans="2:2" x14ac:dyDescent="0.35">
      <c r="B19" s="836" t="s">
        <v>965</v>
      </c>
    </row>
  </sheetData>
  <hyperlinks>
    <hyperlink ref="B19" r:id="rId1" display="https://www.vero.fi/yritykset-ja-yhteisot/verot-ja-maksut/arvonlisaverotus/arvonlisaveroprosentit/" xr:uid="{B91C0DEB-8BA0-4258-B7D7-EF3B41B1E294}"/>
  </hyperlinks>
  <pageMargins left="0.7" right="0.7" top="0.75" bottom="0.75" header="0.3" footer="0.3"/>
  <ignoredErrors>
    <ignoredError sqref="D8:G9 D10:G11" formula="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57D13-3F81-457F-9707-56302F905014}">
  <sheetPr codeName="Taul15"/>
  <dimension ref="B1:V90"/>
  <sheetViews>
    <sheetView workbookViewId="0">
      <selection activeCell="E17" sqref="E17"/>
    </sheetView>
  </sheetViews>
  <sheetFormatPr defaultColWidth="9.1796875" defaultRowHeight="14.5" x14ac:dyDescent="0.35"/>
  <cols>
    <col min="1" max="1" width="2.7265625" style="5" customWidth="1"/>
    <col min="2" max="2" width="10.7265625" style="5" customWidth="1"/>
    <col min="3" max="3" width="50.7265625" style="5" customWidth="1"/>
    <col min="4" max="4" width="4.54296875" style="5" bestFit="1" customWidth="1"/>
    <col min="5" max="10" width="12.7265625" style="5" customWidth="1"/>
    <col min="11" max="16384" width="9.1796875" style="5"/>
  </cols>
  <sheetData>
    <row r="1" spans="2:22" ht="15.75" customHeight="1" x14ac:dyDescent="0.35"/>
    <row r="2" spans="2:22" ht="15.75" customHeight="1" x14ac:dyDescent="0.5">
      <c r="B2" s="822" t="s">
        <v>626</v>
      </c>
      <c r="C2" s="565" t="s">
        <v>590</v>
      </c>
      <c r="F2" s="754" t="s">
        <v>882</v>
      </c>
      <c r="G2" s="758"/>
      <c r="H2" s="758"/>
      <c r="I2" s="758"/>
      <c r="J2" s="758"/>
    </row>
    <row r="4" spans="2:22" x14ac:dyDescent="0.35">
      <c r="C4" s="14" t="s">
        <v>867</v>
      </c>
      <c r="F4" s="14" t="s">
        <v>868</v>
      </c>
    </row>
    <row r="5" spans="2:22" x14ac:dyDescent="0.35">
      <c r="C5" s="3" t="str">
        <f>'1 INVESTOINTISUUNNITELMA'!D5</f>
        <v>Malliyritys Oy</v>
      </c>
      <c r="F5" s="1015" t="str">
        <f>'1 INVESTOINTISUUNNITELMA'!D8</f>
        <v>Aki Laaksonen</v>
      </c>
      <c r="G5" s="1015"/>
      <c r="H5" s="1015"/>
      <c r="I5" s="1015"/>
    </row>
    <row r="7" spans="2:22" x14ac:dyDescent="0.35">
      <c r="C7" s="458"/>
      <c r="D7" s="459"/>
      <c r="E7" s="825" t="s">
        <v>561</v>
      </c>
      <c r="F7" s="826" t="s">
        <v>561</v>
      </c>
      <c r="G7" s="460" t="s">
        <v>447</v>
      </c>
      <c r="H7" s="460" t="s">
        <v>444</v>
      </c>
      <c r="I7" s="460" t="s">
        <v>445</v>
      </c>
      <c r="J7" s="461" t="s">
        <v>446</v>
      </c>
    </row>
    <row r="8" spans="2:22" ht="16" x14ac:dyDescent="0.4">
      <c r="C8" s="462"/>
      <c r="D8" s="446"/>
      <c r="E8" s="463">
        <f>F8-1</f>
        <v>2024</v>
      </c>
      <c r="F8" s="464">
        <f>G8-1</f>
        <v>2025</v>
      </c>
      <c r="G8" s="463">
        <f>'1 INVESTOINTISUUNNITELMA'!E16</f>
        <v>2026</v>
      </c>
      <c r="H8" s="463">
        <f>G8+1</f>
        <v>2027</v>
      </c>
      <c r="I8" s="463">
        <f t="shared" ref="I8:J8" si="0">H8+1</f>
        <v>2028</v>
      </c>
      <c r="J8" s="465">
        <f t="shared" si="0"/>
        <v>2029</v>
      </c>
    </row>
    <row r="9" spans="2:22" x14ac:dyDescent="0.35">
      <c r="C9" s="466" t="s">
        <v>562</v>
      </c>
      <c r="D9" s="409"/>
      <c r="E9" s="467">
        <v>12</v>
      </c>
      <c r="F9" s="468">
        <v>12</v>
      </c>
      <c r="G9" s="467">
        <v>12</v>
      </c>
      <c r="H9" s="467">
        <v>12</v>
      </c>
      <c r="I9" s="467">
        <v>12</v>
      </c>
      <c r="J9" s="469">
        <v>12</v>
      </c>
    </row>
    <row r="10" spans="2:22" x14ac:dyDescent="0.35">
      <c r="C10" s="96" t="s">
        <v>903</v>
      </c>
      <c r="D10" s="53" t="s">
        <v>157</v>
      </c>
      <c r="E10" s="162">
        <f t="shared" ref="E10:J10" si="1">(E17+E24+E31+E38+E45+E52+E59+E66+E73+E80)</f>
        <v>0</v>
      </c>
      <c r="F10" s="162">
        <f>(F17+F24+F31+F38+F45+F52+F59+F66+F73+F80)</f>
        <v>0</v>
      </c>
      <c r="G10" s="162">
        <f t="shared" si="1"/>
        <v>0</v>
      </c>
      <c r="H10" s="162">
        <f t="shared" si="1"/>
        <v>0</v>
      </c>
      <c r="I10" s="162">
        <f t="shared" si="1"/>
        <v>0</v>
      </c>
      <c r="J10" s="162">
        <f t="shared" si="1"/>
        <v>0</v>
      </c>
    </row>
    <row r="11" spans="2:22" x14ac:dyDescent="0.35">
      <c r="C11" s="96" t="s">
        <v>904</v>
      </c>
      <c r="D11" s="53" t="s">
        <v>157</v>
      </c>
      <c r="E11" s="162">
        <f t="shared" ref="E11:J11" si="2">(E21+E28+E35+E42+E49+E56+E63+E70+E77+E84)</f>
        <v>0</v>
      </c>
      <c r="F11" s="162">
        <f t="shared" si="2"/>
        <v>0</v>
      </c>
      <c r="G11" s="162">
        <f t="shared" si="2"/>
        <v>0</v>
      </c>
      <c r="H11" s="162">
        <f t="shared" si="2"/>
        <v>0</v>
      </c>
      <c r="I11" s="162">
        <f t="shared" si="2"/>
        <v>0</v>
      </c>
      <c r="J11" s="162">
        <f t="shared" si="2"/>
        <v>0</v>
      </c>
    </row>
    <row r="12" spans="2:22" x14ac:dyDescent="0.35">
      <c r="C12" s="96" t="s">
        <v>573</v>
      </c>
      <c r="D12" s="53"/>
      <c r="E12" s="347">
        <f t="shared" ref="E12:J12" si="3">IF(E11=0,0,E11/E10)</f>
        <v>0</v>
      </c>
      <c r="F12" s="347">
        <f t="shared" si="3"/>
        <v>0</v>
      </c>
      <c r="G12" s="347">
        <f t="shared" si="3"/>
        <v>0</v>
      </c>
      <c r="H12" s="347">
        <f t="shared" si="3"/>
        <v>0</v>
      </c>
      <c r="I12" s="347">
        <f t="shared" si="3"/>
        <v>0</v>
      </c>
      <c r="J12" s="347">
        <f t="shared" si="3"/>
        <v>0</v>
      </c>
    </row>
    <row r="13" spans="2:22" x14ac:dyDescent="0.35">
      <c r="C13" s="96" t="s">
        <v>574</v>
      </c>
      <c r="D13" s="53" t="s">
        <v>157</v>
      </c>
      <c r="E13" s="664"/>
      <c r="F13" s="664"/>
      <c r="G13" s="162">
        <f>(G16*G17+G23*G24+G30*G31+G37*G38+G44*G45+G51*G52+G58*G59+G65*G66+G72*G73+G79*G80)</f>
        <v>0</v>
      </c>
      <c r="H13" s="162">
        <f>(H16*H17+H23*H24+H30*H31+H37*H38+H44*H45+H51*H52+H58*H59+H65*H66+H72*H73+H79*H80)</f>
        <v>0</v>
      </c>
      <c r="I13" s="162">
        <f>(I16*I17+I23*I24+I30*I31+I37*I38+I44*I45+I51*I52+I58*I59+I65*I66+I72*I73+I79*I80)</f>
        <v>0</v>
      </c>
      <c r="J13" s="162">
        <f>(J16*J17+J23*J24+J30*J31+J37*J38+J44*J45+J51*J52+J58*J59+J65*J66+J72*J73+J79*J80)</f>
        <v>0</v>
      </c>
      <c r="L13" s="3"/>
      <c r="M13" s="3"/>
      <c r="N13" s="3"/>
      <c r="O13" s="3"/>
      <c r="P13" s="3"/>
      <c r="Q13" s="3"/>
      <c r="R13" s="3"/>
      <c r="S13" s="3"/>
      <c r="T13" s="3"/>
      <c r="U13" s="3"/>
      <c r="V13" s="3"/>
    </row>
    <row r="14" spans="2:22" x14ac:dyDescent="0.35">
      <c r="C14" s="96" t="s">
        <v>575</v>
      </c>
      <c r="D14" s="53" t="s">
        <v>157</v>
      </c>
      <c r="E14" s="664"/>
      <c r="F14" s="664"/>
      <c r="G14" s="162">
        <f>G12*G13</f>
        <v>0</v>
      </c>
      <c r="H14" s="162">
        <f>H12*H13</f>
        <v>0</v>
      </c>
      <c r="I14" s="162">
        <f>I12*I13</f>
        <v>0</v>
      </c>
      <c r="J14" s="162">
        <f>J12*J13</f>
        <v>0</v>
      </c>
      <c r="L14" s="759" t="s">
        <v>878</v>
      </c>
      <c r="V14" s="528"/>
    </row>
    <row r="15" spans="2:22" x14ac:dyDescent="0.35">
      <c r="L15" s="51"/>
      <c r="V15" s="528"/>
    </row>
    <row r="16" spans="2:22" x14ac:dyDescent="0.35">
      <c r="C16" s="804" t="s">
        <v>376</v>
      </c>
      <c r="D16" s="657"/>
      <c r="E16" s="657"/>
      <c r="F16" s="658"/>
      <c r="G16" s="950">
        <v>0.255</v>
      </c>
      <c r="H16" s="950">
        <v>0.255</v>
      </c>
      <c r="I16" s="950">
        <v>0.255</v>
      </c>
      <c r="J16" s="950">
        <v>0.255</v>
      </c>
      <c r="L16" s="1097" t="s">
        <v>586</v>
      </c>
      <c r="M16" s="1078"/>
      <c r="N16" s="1078"/>
      <c r="O16" s="1078"/>
      <c r="V16" s="528"/>
    </row>
    <row r="17" spans="3:22" x14ac:dyDescent="0.35">
      <c r="C17" s="951" t="s">
        <v>576</v>
      </c>
      <c r="D17" s="662" t="s">
        <v>577</v>
      </c>
      <c r="E17" s="869"/>
      <c r="F17" s="869"/>
      <c r="G17" s="661">
        <f>G18*G19</f>
        <v>0</v>
      </c>
      <c r="H17" s="661">
        <f>H18*H19</f>
        <v>0</v>
      </c>
      <c r="I17" s="661">
        <f>I18*I19</f>
        <v>0</v>
      </c>
      <c r="J17" s="661">
        <f>J18*J19</f>
        <v>0</v>
      </c>
      <c r="L17" s="96">
        <f>$G$8</f>
        <v>2026</v>
      </c>
      <c r="M17" s="96">
        <f>$H$8</f>
        <v>2027</v>
      </c>
      <c r="N17" s="96">
        <f>$I$8</f>
        <v>2028</v>
      </c>
      <c r="O17" s="96">
        <f>$J$8</f>
        <v>2029</v>
      </c>
      <c r="P17" s="878"/>
      <c r="Q17" s="878"/>
      <c r="R17" s="878"/>
      <c r="S17" s="878"/>
      <c r="T17" s="878"/>
      <c r="U17" s="878"/>
      <c r="V17" s="879"/>
    </row>
    <row r="18" spans="3:22" x14ac:dyDescent="0.35">
      <c r="C18" s="53" t="s">
        <v>678</v>
      </c>
      <c r="D18" s="910" t="s">
        <v>23</v>
      </c>
      <c r="E18" s="869"/>
      <c r="F18" s="869"/>
      <c r="G18" s="864">
        <f t="shared" ref="G18:J19" si="4">F18+F18*L18</f>
        <v>0</v>
      </c>
      <c r="H18" s="864">
        <f t="shared" si="4"/>
        <v>0</v>
      </c>
      <c r="I18" s="864">
        <f t="shared" si="4"/>
        <v>0</v>
      </c>
      <c r="J18" s="864">
        <f t="shared" si="4"/>
        <v>0</v>
      </c>
      <c r="L18" s="953">
        <v>0</v>
      </c>
      <c r="M18" s="953">
        <f>L18</f>
        <v>0</v>
      </c>
      <c r="N18" s="953">
        <f t="shared" ref="N18:O18" si="5">M18</f>
        <v>0</v>
      </c>
      <c r="O18" s="953">
        <f t="shared" si="5"/>
        <v>0</v>
      </c>
      <c r="P18" s="878"/>
      <c r="Q18" s="878"/>
      <c r="R18" s="878"/>
      <c r="S18" s="878"/>
      <c r="T18" s="878"/>
      <c r="U18" s="878"/>
      <c r="V18" s="879"/>
    </row>
    <row r="19" spans="3:22" x14ac:dyDescent="0.35">
      <c r="C19" s="53" t="s">
        <v>679</v>
      </c>
      <c r="D19" s="910" t="s">
        <v>157</v>
      </c>
      <c r="E19" s="334">
        <f>IF(E18=0,0,E17/E18)</f>
        <v>0</v>
      </c>
      <c r="F19" s="334">
        <f>IF(F18=0,0,F17/F18)</f>
        <v>0</v>
      </c>
      <c r="G19" s="945">
        <f t="shared" si="4"/>
        <v>0</v>
      </c>
      <c r="H19" s="945">
        <f t="shared" si="4"/>
        <v>0</v>
      </c>
      <c r="I19" s="945">
        <f t="shared" si="4"/>
        <v>0</v>
      </c>
      <c r="J19" s="945">
        <f t="shared" si="4"/>
        <v>0</v>
      </c>
      <c r="L19" s="953">
        <v>0.03</v>
      </c>
      <c r="M19" s="953">
        <f>L19</f>
        <v>0.03</v>
      </c>
      <c r="N19" s="953">
        <f t="shared" ref="N19:O19" si="6">M19</f>
        <v>0.03</v>
      </c>
      <c r="O19" s="953">
        <f t="shared" si="6"/>
        <v>0.03</v>
      </c>
      <c r="P19" s="878"/>
      <c r="Q19" s="878"/>
      <c r="R19" s="878"/>
      <c r="S19" s="878"/>
      <c r="T19" s="878"/>
      <c r="U19" s="878"/>
      <c r="V19" s="879"/>
    </row>
    <row r="20" spans="3:22" x14ac:dyDescent="0.35">
      <c r="C20" s="53" t="s">
        <v>680</v>
      </c>
      <c r="D20" s="53"/>
      <c r="E20" s="346">
        <f>IF(E17=0,0,E21/E17)</f>
        <v>0</v>
      </c>
      <c r="F20" s="346">
        <f>IF(F17=0,0,F21/F17)</f>
        <v>0</v>
      </c>
      <c r="G20" s="926">
        <f>F20</f>
        <v>0</v>
      </c>
      <c r="H20" s="952">
        <f>G20</f>
        <v>0</v>
      </c>
      <c r="I20" s="952">
        <f>H20</f>
        <v>0</v>
      </c>
      <c r="J20" s="952">
        <f>I20</f>
        <v>0</v>
      </c>
      <c r="L20" s="51"/>
      <c r="P20" s="878"/>
      <c r="Q20" s="878"/>
      <c r="R20" s="878"/>
      <c r="S20" s="878"/>
      <c r="T20" s="878"/>
      <c r="U20" s="878"/>
      <c r="V20" s="879"/>
    </row>
    <row r="21" spans="3:22" x14ac:dyDescent="0.35">
      <c r="C21" s="53" t="s">
        <v>681</v>
      </c>
      <c r="D21" s="53" t="s">
        <v>157</v>
      </c>
      <c r="E21" s="869"/>
      <c r="F21" s="869"/>
      <c r="G21" s="151">
        <f>IF(G20=0,0,G17*G20)</f>
        <v>0</v>
      </c>
      <c r="H21" s="151">
        <f>IF(H20=0,0,H17*H20)</f>
        <v>0</v>
      </c>
      <c r="I21" s="151">
        <f>IF(I20=0,0,I17*I20)</f>
        <v>0</v>
      </c>
      <c r="J21" s="151">
        <f>IF(J20=0,0,J17*J20)</f>
        <v>0</v>
      </c>
      <c r="L21" s="51"/>
      <c r="P21" s="878"/>
      <c r="Q21" s="878"/>
      <c r="R21" s="878"/>
      <c r="S21" s="878"/>
      <c r="T21" s="878"/>
      <c r="U21" s="878"/>
      <c r="V21" s="879"/>
    </row>
    <row r="22" spans="3:22" x14ac:dyDescent="0.35">
      <c r="L22" s="51"/>
      <c r="P22" s="878"/>
      <c r="Q22" s="878"/>
      <c r="R22" s="878"/>
      <c r="S22" s="878"/>
      <c r="T22" s="878"/>
      <c r="U22" s="878"/>
      <c r="V22" s="879"/>
    </row>
    <row r="23" spans="3:22" x14ac:dyDescent="0.35">
      <c r="C23" s="804" t="s">
        <v>376</v>
      </c>
      <c r="D23" s="657"/>
      <c r="E23" s="657"/>
      <c r="F23" s="658"/>
      <c r="G23" s="950">
        <v>0.255</v>
      </c>
      <c r="H23" s="950">
        <v>0.255</v>
      </c>
      <c r="I23" s="950">
        <v>0.255</v>
      </c>
      <c r="J23" s="950">
        <v>0.255</v>
      </c>
      <c r="L23" s="1097" t="s">
        <v>586</v>
      </c>
      <c r="M23" s="1078"/>
      <c r="N23" s="1078"/>
      <c r="O23" s="1078"/>
      <c r="P23" s="878"/>
      <c r="Q23" s="878"/>
      <c r="R23" s="878"/>
      <c r="S23" s="878"/>
      <c r="T23" s="878"/>
      <c r="U23" s="878"/>
      <c r="V23" s="879"/>
    </row>
    <row r="24" spans="3:22" x14ac:dyDescent="0.35">
      <c r="C24" s="951" t="s">
        <v>576</v>
      </c>
      <c r="D24" s="662" t="s">
        <v>577</v>
      </c>
      <c r="E24" s="869"/>
      <c r="F24" s="869"/>
      <c r="G24" s="661">
        <f>G25*G26</f>
        <v>0</v>
      </c>
      <c r="H24" s="661">
        <f>H25*H26</f>
        <v>0</v>
      </c>
      <c r="I24" s="661">
        <f>I25*I26</f>
        <v>0</v>
      </c>
      <c r="J24" s="661">
        <f>J25*J26</f>
        <v>0</v>
      </c>
      <c r="L24" s="96">
        <f>$G$8</f>
        <v>2026</v>
      </c>
      <c r="M24" s="96">
        <f>$H$8</f>
        <v>2027</v>
      </c>
      <c r="N24" s="96">
        <f>$I$8</f>
        <v>2028</v>
      </c>
      <c r="O24" s="96">
        <f>$J$8</f>
        <v>2029</v>
      </c>
      <c r="P24" s="878"/>
      <c r="Q24" s="878"/>
      <c r="R24" s="878"/>
      <c r="S24" s="878"/>
      <c r="T24" s="878"/>
      <c r="U24" s="878"/>
      <c r="V24" s="879"/>
    </row>
    <row r="25" spans="3:22" x14ac:dyDescent="0.35">
      <c r="C25" s="53" t="s">
        <v>678</v>
      </c>
      <c r="D25" s="910" t="s">
        <v>23</v>
      </c>
      <c r="E25" s="869"/>
      <c r="F25" s="869"/>
      <c r="G25" s="864">
        <f t="shared" ref="G25:J26" si="7">F25+F25*L25</f>
        <v>0</v>
      </c>
      <c r="H25" s="864">
        <f t="shared" si="7"/>
        <v>0</v>
      </c>
      <c r="I25" s="864">
        <f t="shared" si="7"/>
        <v>0</v>
      </c>
      <c r="J25" s="864">
        <f t="shared" si="7"/>
        <v>0</v>
      </c>
      <c r="L25" s="953">
        <v>0</v>
      </c>
      <c r="M25" s="953">
        <f>L25</f>
        <v>0</v>
      </c>
      <c r="N25" s="953">
        <f t="shared" ref="N25:O25" si="8">M25</f>
        <v>0</v>
      </c>
      <c r="O25" s="953">
        <f t="shared" si="8"/>
        <v>0</v>
      </c>
      <c r="P25" s="878"/>
      <c r="Q25" s="878"/>
      <c r="R25" s="878"/>
      <c r="S25" s="878"/>
      <c r="T25" s="878"/>
      <c r="U25" s="878"/>
      <c r="V25" s="879"/>
    </row>
    <row r="26" spans="3:22" x14ac:dyDescent="0.35">
      <c r="C26" s="53" t="s">
        <v>679</v>
      </c>
      <c r="D26" s="910" t="s">
        <v>157</v>
      </c>
      <c r="E26" s="334">
        <f>IF(E25=0,0,E24/E25)</f>
        <v>0</v>
      </c>
      <c r="F26" s="334">
        <f>IF(F25=0,0,F24/F25)</f>
        <v>0</v>
      </c>
      <c r="G26" s="945">
        <f t="shared" si="7"/>
        <v>0</v>
      </c>
      <c r="H26" s="945">
        <f t="shared" si="7"/>
        <v>0</v>
      </c>
      <c r="I26" s="945">
        <f t="shared" si="7"/>
        <v>0</v>
      </c>
      <c r="J26" s="945">
        <f t="shared" si="7"/>
        <v>0</v>
      </c>
      <c r="L26" s="953">
        <v>0.03</v>
      </c>
      <c r="M26" s="953">
        <f>L26</f>
        <v>0.03</v>
      </c>
      <c r="N26" s="953">
        <f t="shared" ref="N26:O26" si="9">M26</f>
        <v>0.03</v>
      </c>
      <c r="O26" s="953">
        <f t="shared" si="9"/>
        <v>0.03</v>
      </c>
      <c r="P26" s="878"/>
      <c r="Q26" s="878"/>
      <c r="R26" s="878"/>
      <c r="S26" s="878"/>
      <c r="T26" s="878"/>
      <c r="U26" s="878"/>
      <c r="V26" s="879"/>
    </row>
    <row r="27" spans="3:22" x14ac:dyDescent="0.35">
      <c r="C27" s="53" t="s">
        <v>680</v>
      </c>
      <c r="D27" s="53"/>
      <c r="E27" s="346">
        <f>IF(E24=0,0,E28/E24)</f>
        <v>0</v>
      </c>
      <c r="F27" s="346">
        <f>IF(F24=0,0,F28/F24)</f>
        <v>0</v>
      </c>
      <c r="G27" s="926">
        <f>F27</f>
        <v>0</v>
      </c>
      <c r="H27" s="952">
        <f>G27</f>
        <v>0</v>
      </c>
      <c r="I27" s="952">
        <f>H27</f>
        <v>0</v>
      </c>
      <c r="J27" s="952">
        <f>I27</f>
        <v>0</v>
      </c>
      <c r="L27" s="51"/>
      <c r="P27" s="878"/>
      <c r="Q27" s="878"/>
      <c r="R27" s="878"/>
      <c r="S27" s="878"/>
      <c r="T27" s="878"/>
      <c r="U27" s="878"/>
      <c r="V27" s="879"/>
    </row>
    <row r="28" spans="3:22" x14ac:dyDescent="0.35">
      <c r="C28" s="53" t="s">
        <v>681</v>
      </c>
      <c r="D28" s="53" t="s">
        <v>157</v>
      </c>
      <c r="E28" s="869"/>
      <c r="F28" s="869"/>
      <c r="G28" s="151">
        <f>IF(G27=0,0,G24*G27)</f>
        <v>0</v>
      </c>
      <c r="H28" s="151">
        <f>IF(H27=0,0,H24*H27)</f>
        <v>0</v>
      </c>
      <c r="I28" s="151">
        <f>IF(I27=0,0,I24*I27)</f>
        <v>0</v>
      </c>
      <c r="J28" s="151">
        <f>IF(J27=0,0,J24*J27)</f>
        <v>0</v>
      </c>
      <c r="L28" s="51"/>
      <c r="P28" s="878"/>
      <c r="Q28" s="878"/>
      <c r="R28" s="878"/>
      <c r="S28" s="878"/>
      <c r="T28" s="878"/>
      <c r="U28" s="878"/>
      <c r="V28" s="879"/>
    </row>
    <row r="29" spans="3:22" x14ac:dyDescent="0.35">
      <c r="L29" s="51"/>
      <c r="P29" s="878"/>
      <c r="Q29" s="878"/>
      <c r="R29" s="878"/>
      <c r="S29" s="878"/>
      <c r="T29" s="878"/>
      <c r="U29" s="878"/>
      <c r="V29" s="879"/>
    </row>
    <row r="30" spans="3:22" x14ac:dyDescent="0.35">
      <c r="C30" s="804" t="s">
        <v>376</v>
      </c>
      <c r="D30" s="657"/>
      <c r="E30" s="657"/>
      <c r="F30" s="658"/>
      <c r="G30" s="950">
        <v>0.255</v>
      </c>
      <c r="H30" s="950">
        <v>0.255</v>
      </c>
      <c r="I30" s="950">
        <v>0.255</v>
      </c>
      <c r="J30" s="950">
        <v>0.255</v>
      </c>
      <c r="L30" s="1097" t="s">
        <v>586</v>
      </c>
      <c r="M30" s="1078"/>
      <c r="N30" s="1078"/>
      <c r="O30" s="1078"/>
      <c r="P30" s="878"/>
      <c r="Q30" s="878"/>
      <c r="R30" s="878"/>
      <c r="S30" s="878"/>
      <c r="T30" s="878"/>
      <c r="U30" s="878"/>
      <c r="V30" s="879"/>
    </row>
    <row r="31" spans="3:22" x14ac:dyDescent="0.35">
      <c r="C31" s="951" t="s">
        <v>576</v>
      </c>
      <c r="D31" s="662" t="s">
        <v>577</v>
      </c>
      <c r="E31" s="869"/>
      <c r="F31" s="869"/>
      <c r="G31" s="661">
        <f>G32*G33</f>
        <v>0</v>
      </c>
      <c r="H31" s="661">
        <f>H32*H33</f>
        <v>0</v>
      </c>
      <c r="I31" s="661">
        <f>I32*I33</f>
        <v>0</v>
      </c>
      <c r="J31" s="661">
        <f>J32*J33</f>
        <v>0</v>
      </c>
      <c r="L31" s="96">
        <f>$G$8</f>
        <v>2026</v>
      </c>
      <c r="M31" s="96">
        <f>$H$8</f>
        <v>2027</v>
      </c>
      <c r="N31" s="96">
        <f>$I$8</f>
        <v>2028</v>
      </c>
      <c r="O31" s="96">
        <f>$J$8</f>
        <v>2029</v>
      </c>
      <c r="P31" s="878"/>
      <c r="Q31" s="878"/>
      <c r="R31" s="878"/>
      <c r="S31" s="878"/>
      <c r="T31" s="878"/>
      <c r="U31" s="878"/>
      <c r="V31" s="879"/>
    </row>
    <row r="32" spans="3:22" x14ac:dyDescent="0.35">
      <c r="C32" s="53" t="s">
        <v>678</v>
      </c>
      <c r="D32" s="910" t="s">
        <v>23</v>
      </c>
      <c r="E32" s="869"/>
      <c r="F32" s="869"/>
      <c r="G32" s="864">
        <f t="shared" ref="G32:J33" si="10">F32+F32*L32</f>
        <v>0</v>
      </c>
      <c r="H32" s="864">
        <f t="shared" si="10"/>
        <v>0</v>
      </c>
      <c r="I32" s="864">
        <f t="shared" si="10"/>
        <v>0</v>
      </c>
      <c r="J32" s="864">
        <f t="shared" si="10"/>
        <v>0</v>
      </c>
      <c r="L32" s="953">
        <v>0</v>
      </c>
      <c r="M32" s="953">
        <f>L32</f>
        <v>0</v>
      </c>
      <c r="N32" s="953">
        <f t="shared" ref="N32:O32" si="11">M32</f>
        <v>0</v>
      </c>
      <c r="O32" s="953">
        <f t="shared" si="11"/>
        <v>0</v>
      </c>
      <c r="P32" s="878"/>
      <c r="Q32" s="878"/>
      <c r="R32" s="878"/>
      <c r="S32" s="878"/>
      <c r="T32" s="878"/>
      <c r="U32" s="878"/>
      <c r="V32" s="879"/>
    </row>
    <row r="33" spans="3:22" x14ac:dyDescent="0.35">
      <c r="C33" s="53" t="s">
        <v>679</v>
      </c>
      <c r="D33" s="910" t="s">
        <v>157</v>
      </c>
      <c r="E33" s="334">
        <f>IF(E32=0,0,E31/E32)</f>
        <v>0</v>
      </c>
      <c r="F33" s="334">
        <f>IF(F32=0,0,F31/F32)</f>
        <v>0</v>
      </c>
      <c r="G33" s="945">
        <f t="shared" si="10"/>
        <v>0</v>
      </c>
      <c r="H33" s="945">
        <f t="shared" si="10"/>
        <v>0</v>
      </c>
      <c r="I33" s="945">
        <f t="shared" si="10"/>
        <v>0</v>
      </c>
      <c r="J33" s="945">
        <f t="shared" si="10"/>
        <v>0</v>
      </c>
      <c r="L33" s="953">
        <v>0.03</v>
      </c>
      <c r="M33" s="953">
        <f>L33</f>
        <v>0.03</v>
      </c>
      <c r="N33" s="953">
        <f t="shared" ref="N33:O33" si="12">M33</f>
        <v>0.03</v>
      </c>
      <c r="O33" s="953">
        <f t="shared" si="12"/>
        <v>0.03</v>
      </c>
      <c r="P33" s="878"/>
      <c r="Q33" s="878"/>
      <c r="R33" s="878"/>
      <c r="S33" s="878"/>
      <c r="T33" s="878"/>
      <c r="U33" s="878"/>
      <c r="V33" s="879"/>
    </row>
    <row r="34" spans="3:22" x14ac:dyDescent="0.35">
      <c r="C34" s="53" t="s">
        <v>680</v>
      </c>
      <c r="D34" s="53"/>
      <c r="E34" s="346">
        <f>IF(E31=0,0,E35/E31)</f>
        <v>0</v>
      </c>
      <c r="F34" s="346">
        <f>IF(F31=0,0,F35/F31)</f>
        <v>0</v>
      </c>
      <c r="G34" s="926">
        <f>F34</f>
        <v>0</v>
      </c>
      <c r="H34" s="952">
        <f>G34</f>
        <v>0</v>
      </c>
      <c r="I34" s="952">
        <f>H34</f>
        <v>0</v>
      </c>
      <c r="J34" s="952">
        <f>I34</f>
        <v>0</v>
      </c>
      <c r="L34" s="51"/>
      <c r="P34" s="878"/>
      <c r="Q34" s="878"/>
      <c r="R34" s="878"/>
      <c r="S34" s="878"/>
      <c r="T34" s="878"/>
      <c r="U34" s="878"/>
      <c r="V34" s="879"/>
    </row>
    <row r="35" spans="3:22" x14ac:dyDescent="0.35">
      <c r="C35" s="53" t="s">
        <v>681</v>
      </c>
      <c r="D35" s="53" t="s">
        <v>157</v>
      </c>
      <c r="E35" s="869"/>
      <c r="F35" s="869"/>
      <c r="G35" s="151">
        <f>IF(G34=0,0,G31*G34)</f>
        <v>0</v>
      </c>
      <c r="H35" s="151">
        <f>IF(H34=0,0,H31*H34)</f>
        <v>0</v>
      </c>
      <c r="I35" s="151">
        <f>IF(I34=0,0,I31*I34)</f>
        <v>0</v>
      </c>
      <c r="J35" s="151">
        <f>IF(J34=0,0,J31*J34)</f>
        <v>0</v>
      </c>
      <c r="L35" s="51"/>
      <c r="P35" s="878"/>
      <c r="Q35" s="878"/>
      <c r="R35" s="878"/>
      <c r="S35" s="878"/>
      <c r="T35" s="878"/>
      <c r="U35" s="878"/>
      <c r="V35" s="879"/>
    </row>
    <row r="36" spans="3:22" x14ac:dyDescent="0.35">
      <c r="L36" s="51"/>
      <c r="P36" s="878"/>
      <c r="Q36" s="878"/>
      <c r="R36" s="878"/>
      <c r="S36" s="878"/>
      <c r="T36" s="878"/>
      <c r="U36" s="878"/>
      <c r="V36" s="879"/>
    </row>
    <row r="37" spans="3:22" x14ac:dyDescent="0.35">
      <c r="C37" s="804" t="s">
        <v>376</v>
      </c>
      <c r="D37" s="657"/>
      <c r="E37" s="657"/>
      <c r="F37" s="658"/>
      <c r="G37" s="950">
        <v>0.255</v>
      </c>
      <c r="H37" s="950">
        <v>0.255</v>
      </c>
      <c r="I37" s="950">
        <v>0.255</v>
      </c>
      <c r="J37" s="950">
        <v>0.255</v>
      </c>
      <c r="L37" s="1097" t="s">
        <v>586</v>
      </c>
      <c r="M37" s="1078"/>
      <c r="N37" s="1078"/>
      <c r="O37" s="1078"/>
      <c r="P37" s="878"/>
      <c r="Q37" s="878"/>
      <c r="R37" s="878"/>
      <c r="S37" s="878"/>
      <c r="T37" s="878"/>
      <c r="U37" s="878"/>
      <c r="V37" s="879"/>
    </row>
    <row r="38" spans="3:22" x14ac:dyDescent="0.35">
      <c r="C38" s="951" t="s">
        <v>576</v>
      </c>
      <c r="D38" s="662" t="s">
        <v>577</v>
      </c>
      <c r="E38" s="869"/>
      <c r="F38" s="869"/>
      <c r="G38" s="661">
        <f>G39*G40</f>
        <v>0</v>
      </c>
      <c r="H38" s="661">
        <f>H39*H40</f>
        <v>0</v>
      </c>
      <c r="I38" s="661">
        <f>I39*I40</f>
        <v>0</v>
      </c>
      <c r="J38" s="661">
        <f>J39*J40</f>
        <v>0</v>
      </c>
      <c r="L38" s="96">
        <f>$G$8</f>
        <v>2026</v>
      </c>
      <c r="M38" s="96">
        <f>$H$8</f>
        <v>2027</v>
      </c>
      <c r="N38" s="96">
        <f>$I$8</f>
        <v>2028</v>
      </c>
      <c r="O38" s="96">
        <f>$J$8</f>
        <v>2029</v>
      </c>
      <c r="P38" s="878"/>
      <c r="Q38" s="878"/>
      <c r="R38" s="878"/>
      <c r="S38" s="878"/>
      <c r="T38" s="878"/>
      <c r="U38" s="878"/>
      <c r="V38" s="879"/>
    </row>
    <row r="39" spans="3:22" x14ac:dyDescent="0.35">
      <c r="C39" s="53" t="s">
        <v>678</v>
      </c>
      <c r="D39" s="910" t="s">
        <v>23</v>
      </c>
      <c r="E39" s="869"/>
      <c r="F39" s="869"/>
      <c r="G39" s="864">
        <f t="shared" ref="G39:J40" si="13">F39+F39*L39</f>
        <v>0</v>
      </c>
      <c r="H39" s="864">
        <f t="shared" si="13"/>
        <v>0</v>
      </c>
      <c r="I39" s="864">
        <f t="shared" si="13"/>
        <v>0</v>
      </c>
      <c r="J39" s="864">
        <f t="shared" si="13"/>
        <v>0</v>
      </c>
      <c r="L39" s="953">
        <v>0</v>
      </c>
      <c r="M39" s="953">
        <f>L39</f>
        <v>0</v>
      </c>
      <c r="N39" s="953">
        <f t="shared" ref="N39:O39" si="14">M39</f>
        <v>0</v>
      </c>
      <c r="O39" s="953">
        <f t="shared" si="14"/>
        <v>0</v>
      </c>
      <c r="P39" s="878"/>
      <c r="Q39" s="878"/>
      <c r="R39" s="878"/>
      <c r="S39" s="878"/>
      <c r="T39" s="878"/>
      <c r="U39" s="878"/>
      <c r="V39" s="879"/>
    </row>
    <row r="40" spans="3:22" x14ac:dyDescent="0.35">
      <c r="C40" s="53" t="s">
        <v>679</v>
      </c>
      <c r="D40" s="910" t="s">
        <v>157</v>
      </c>
      <c r="E40" s="334">
        <f>IF(E39=0,0,E38/E39)</f>
        <v>0</v>
      </c>
      <c r="F40" s="334">
        <f>IF(F39=0,0,F38/F39)</f>
        <v>0</v>
      </c>
      <c r="G40" s="945">
        <f t="shared" si="13"/>
        <v>0</v>
      </c>
      <c r="H40" s="945">
        <f t="shared" si="13"/>
        <v>0</v>
      </c>
      <c r="I40" s="945">
        <f t="shared" si="13"/>
        <v>0</v>
      </c>
      <c r="J40" s="945">
        <f t="shared" si="13"/>
        <v>0</v>
      </c>
      <c r="L40" s="953">
        <v>0.03</v>
      </c>
      <c r="M40" s="953">
        <f>L40</f>
        <v>0.03</v>
      </c>
      <c r="N40" s="953">
        <f t="shared" ref="N40:O40" si="15">M40</f>
        <v>0.03</v>
      </c>
      <c r="O40" s="953">
        <f t="shared" si="15"/>
        <v>0.03</v>
      </c>
      <c r="P40" s="878"/>
      <c r="Q40" s="878"/>
      <c r="R40" s="878"/>
      <c r="S40" s="878"/>
      <c r="T40" s="878"/>
      <c r="U40" s="878"/>
      <c r="V40" s="879"/>
    </row>
    <row r="41" spans="3:22" x14ac:dyDescent="0.35">
      <c r="C41" s="53" t="s">
        <v>680</v>
      </c>
      <c r="D41" s="53"/>
      <c r="E41" s="346">
        <f>IF(E38=0,0,E42/E38)</f>
        <v>0</v>
      </c>
      <c r="F41" s="346">
        <f>IF(F38=0,0,F42/F38)</f>
        <v>0</v>
      </c>
      <c r="G41" s="926">
        <f>F41</f>
        <v>0</v>
      </c>
      <c r="H41" s="952">
        <f>G41</f>
        <v>0</v>
      </c>
      <c r="I41" s="952">
        <f>H41</f>
        <v>0</v>
      </c>
      <c r="J41" s="952">
        <f>I41</f>
        <v>0</v>
      </c>
      <c r="L41" s="51"/>
      <c r="P41" s="878"/>
      <c r="Q41" s="878"/>
      <c r="R41" s="878"/>
      <c r="S41" s="878"/>
      <c r="T41" s="878"/>
      <c r="U41" s="878"/>
      <c r="V41" s="879"/>
    </row>
    <row r="42" spans="3:22" x14ac:dyDescent="0.35">
      <c r="C42" s="53" t="s">
        <v>681</v>
      </c>
      <c r="D42" s="53" t="s">
        <v>157</v>
      </c>
      <c r="E42" s="869"/>
      <c r="F42" s="869"/>
      <c r="G42" s="151">
        <f>IF(G41=0,0,G38*G41)</f>
        <v>0</v>
      </c>
      <c r="H42" s="151">
        <f>IF(H41=0,0,H38*H41)</f>
        <v>0</v>
      </c>
      <c r="I42" s="151">
        <f>IF(I41=0,0,I38*I41)</f>
        <v>0</v>
      </c>
      <c r="J42" s="151">
        <f>IF(J41=0,0,J38*J41)</f>
        <v>0</v>
      </c>
      <c r="L42" s="51"/>
      <c r="P42" s="878"/>
      <c r="Q42" s="878"/>
      <c r="R42" s="878"/>
      <c r="S42" s="878"/>
      <c r="T42" s="878"/>
      <c r="U42" s="878"/>
      <c r="V42" s="879"/>
    </row>
    <row r="43" spans="3:22" x14ac:dyDescent="0.35">
      <c r="L43" s="51"/>
      <c r="P43" s="878"/>
      <c r="Q43" s="878"/>
      <c r="R43" s="878"/>
      <c r="S43" s="878"/>
      <c r="T43" s="878"/>
      <c r="U43" s="878"/>
      <c r="V43" s="879"/>
    </row>
    <row r="44" spans="3:22" x14ac:dyDescent="0.35">
      <c r="C44" s="804" t="s">
        <v>376</v>
      </c>
      <c r="D44" s="657"/>
      <c r="E44" s="657"/>
      <c r="F44" s="658"/>
      <c r="G44" s="950">
        <v>0.255</v>
      </c>
      <c r="H44" s="950">
        <v>0.255</v>
      </c>
      <c r="I44" s="950">
        <v>0.255</v>
      </c>
      <c r="J44" s="950">
        <v>0.255</v>
      </c>
      <c r="L44" s="1097" t="s">
        <v>586</v>
      </c>
      <c r="M44" s="1078"/>
      <c r="N44" s="1078"/>
      <c r="O44" s="1078"/>
      <c r="P44" s="878"/>
      <c r="Q44" s="878"/>
      <c r="R44" s="878"/>
      <c r="S44" s="878"/>
      <c r="T44" s="878"/>
      <c r="U44" s="878"/>
      <c r="V44" s="879"/>
    </row>
    <row r="45" spans="3:22" x14ac:dyDescent="0.35">
      <c r="C45" s="951" t="s">
        <v>576</v>
      </c>
      <c r="D45" s="662" t="s">
        <v>577</v>
      </c>
      <c r="E45" s="869"/>
      <c r="F45" s="869"/>
      <c r="G45" s="661">
        <f>G46*G47</f>
        <v>0</v>
      </c>
      <c r="H45" s="661">
        <f>H46*H47</f>
        <v>0</v>
      </c>
      <c r="I45" s="661">
        <f>I46*I47</f>
        <v>0</v>
      </c>
      <c r="J45" s="661">
        <f>J46*J47</f>
        <v>0</v>
      </c>
      <c r="L45" s="96">
        <f>$G$8</f>
        <v>2026</v>
      </c>
      <c r="M45" s="96">
        <f>$H$8</f>
        <v>2027</v>
      </c>
      <c r="N45" s="96">
        <f>$I$8</f>
        <v>2028</v>
      </c>
      <c r="O45" s="96">
        <f>$J$8</f>
        <v>2029</v>
      </c>
      <c r="P45" s="878"/>
      <c r="Q45" s="878"/>
      <c r="R45" s="878"/>
      <c r="S45" s="878"/>
      <c r="T45" s="878"/>
      <c r="U45" s="878"/>
      <c r="V45" s="879"/>
    </row>
    <row r="46" spans="3:22" x14ac:dyDescent="0.35">
      <c r="C46" s="53" t="s">
        <v>678</v>
      </c>
      <c r="D46" s="910" t="s">
        <v>23</v>
      </c>
      <c r="E46" s="869"/>
      <c r="F46" s="869"/>
      <c r="G46" s="864">
        <f t="shared" ref="G46:J47" si="16">F46+F46*L46</f>
        <v>0</v>
      </c>
      <c r="H46" s="864">
        <f t="shared" si="16"/>
        <v>0</v>
      </c>
      <c r="I46" s="864">
        <f t="shared" si="16"/>
        <v>0</v>
      </c>
      <c r="J46" s="864">
        <f t="shared" si="16"/>
        <v>0</v>
      </c>
      <c r="L46" s="953">
        <v>0</v>
      </c>
      <c r="M46" s="953">
        <f>L46</f>
        <v>0</v>
      </c>
      <c r="N46" s="953">
        <f t="shared" ref="N46:O46" si="17">M46</f>
        <v>0</v>
      </c>
      <c r="O46" s="953">
        <f t="shared" si="17"/>
        <v>0</v>
      </c>
      <c r="P46" s="878"/>
      <c r="Q46" s="878"/>
      <c r="R46" s="878"/>
      <c r="S46" s="878"/>
      <c r="T46" s="878"/>
      <c r="U46" s="878"/>
      <c r="V46" s="879"/>
    </row>
    <row r="47" spans="3:22" x14ac:dyDescent="0.35">
      <c r="C47" s="53" t="s">
        <v>679</v>
      </c>
      <c r="D47" s="910" t="s">
        <v>157</v>
      </c>
      <c r="E47" s="334">
        <f>IF(E46=0,0,E45/E46)</f>
        <v>0</v>
      </c>
      <c r="F47" s="334">
        <f>IF(F46=0,0,F45/F46)</f>
        <v>0</v>
      </c>
      <c r="G47" s="945">
        <f t="shared" si="16"/>
        <v>0</v>
      </c>
      <c r="H47" s="945">
        <f t="shared" si="16"/>
        <v>0</v>
      </c>
      <c r="I47" s="945">
        <f t="shared" si="16"/>
        <v>0</v>
      </c>
      <c r="J47" s="945">
        <f t="shared" si="16"/>
        <v>0</v>
      </c>
      <c r="L47" s="953">
        <v>0.03</v>
      </c>
      <c r="M47" s="953">
        <f>L47</f>
        <v>0.03</v>
      </c>
      <c r="N47" s="953">
        <f t="shared" ref="N47:O47" si="18">M47</f>
        <v>0.03</v>
      </c>
      <c r="O47" s="953">
        <f t="shared" si="18"/>
        <v>0.03</v>
      </c>
      <c r="P47" s="878"/>
      <c r="Q47" s="878"/>
      <c r="R47" s="878"/>
      <c r="S47" s="878"/>
      <c r="T47" s="878"/>
      <c r="U47" s="878"/>
      <c r="V47" s="879"/>
    </row>
    <row r="48" spans="3:22" x14ac:dyDescent="0.35">
      <c r="C48" s="53" t="s">
        <v>680</v>
      </c>
      <c r="D48" s="53"/>
      <c r="E48" s="346">
        <f>IF(E45=0,0,E49/E45)</f>
        <v>0</v>
      </c>
      <c r="F48" s="346">
        <f>IF(F45=0,0,F49/F45)</f>
        <v>0</v>
      </c>
      <c r="G48" s="926">
        <f>F48</f>
        <v>0</v>
      </c>
      <c r="H48" s="952">
        <f>G48</f>
        <v>0</v>
      </c>
      <c r="I48" s="952">
        <f>H48</f>
        <v>0</v>
      </c>
      <c r="J48" s="952">
        <f>I48</f>
        <v>0</v>
      </c>
      <c r="L48" s="51"/>
      <c r="P48" s="878"/>
      <c r="Q48" s="878"/>
      <c r="R48" s="878"/>
      <c r="S48" s="878"/>
      <c r="T48" s="878"/>
      <c r="U48" s="878"/>
      <c r="V48" s="879"/>
    </row>
    <row r="49" spans="3:22" x14ac:dyDescent="0.35">
      <c r="C49" s="53" t="s">
        <v>681</v>
      </c>
      <c r="D49" s="53" t="s">
        <v>157</v>
      </c>
      <c r="E49" s="869"/>
      <c r="F49" s="869"/>
      <c r="G49" s="151">
        <f>IF(G48=0,0,G45*G48)</f>
        <v>0</v>
      </c>
      <c r="H49" s="151">
        <f>IF(H48=0,0,H45*H48)</f>
        <v>0</v>
      </c>
      <c r="I49" s="151">
        <f>IF(I48=0,0,I45*I48)</f>
        <v>0</v>
      </c>
      <c r="J49" s="151">
        <f>IF(J48=0,0,J45*J48)</f>
        <v>0</v>
      </c>
      <c r="L49" s="51"/>
      <c r="P49" s="878"/>
      <c r="Q49" s="878"/>
      <c r="R49" s="878"/>
      <c r="S49" s="878"/>
      <c r="T49" s="878"/>
      <c r="U49" s="878"/>
      <c r="V49" s="879"/>
    </row>
    <row r="50" spans="3:22" x14ac:dyDescent="0.35">
      <c r="L50" s="51"/>
      <c r="P50" s="878"/>
      <c r="Q50" s="878"/>
      <c r="R50" s="878"/>
      <c r="S50" s="878"/>
      <c r="T50" s="878"/>
      <c r="U50" s="878"/>
      <c r="V50" s="879"/>
    </row>
    <row r="51" spans="3:22" x14ac:dyDescent="0.35">
      <c r="C51" s="804" t="s">
        <v>376</v>
      </c>
      <c r="D51" s="657"/>
      <c r="E51" s="657"/>
      <c r="F51" s="658"/>
      <c r="G51" s="950">
        <v>0.255</v>
      </c>
      <c r="H51" s="950">
        <v>0.255</v>
      </c>
      <c r="I51" s="950">
        <v>0.255</v>
      </c>
      <c r="J51" s="950">
        <v>0.255</v>
      </c>
      <c r="L51" s="1097" t="s">
        <v>586</v>
      </c>
      <c r="M51" s="1078"/>
      <c r="N51" s="1078"/>
      <c r="O51" s="1078"/>
      <c r="P51" s="878"/>
      <c r="Q51" s="878"/>
      <c r="R51" s="878"/>
      <c r="S51" s="878"/>
      <c r="T51" s="878"/>
      <c r="U51" s="878"/>
      <c r="V51" s="879"/>
    </row>
    <row r="52" spans="3:22" x14ac:dyDescent="0.35">
      <c r="C52" s="951" t="s">
        <v>576</v>
      </c>
      <c r="D52" s="662" t="s">
        <v>577</v>
      </c>
      <c r="E52" s="869"/>
      <c r="F52" s="869"/>
      <c r="G52" s="661">
        <f>G53*G54</f>
        <v>0</v>
      </c>
      <c r="H52" s="661">
        <f>H53*H54</f>
        <v>0</v>
      </c>
      <c r="I52" s="661">
        <f>I53*I54</f>
        <v>0</v>
      </c>
      <c r="J52" s="661">
        <f>J53*J54</f>
        <v>0</v>
      </c>
      <c r="L52" s="96">
        <f>$G$8</f>
        <v>2026</v>
      </c>
      <c r="M52" s="96">
        <f>$H$8</f>
        <v>2027</v>
      </c>
      <c r="N52" s="96">
        <f>$I$8</f>
        <v>2028</v>
      </c>
      <c r="O52" s="96">
        <f>$J$8</f>
        <v>2029</v>
      </c>
      <c r="P52" s="878"/>
      <c r="Q52" s="878"/>
      <c r="R52" s="878"/>
      <c r="S52" s="878"/>
      <c r="T52" s="878"/>
      <c r="U52" s="878"/>
      <c r="V52" s="879"/>
    </row>
    <row r="53" spans="3:22" x14ac:dyDescent="0.35">
      <c r="C53" s="53" t="s">
        <v>678</v>
      </c>
      <c r="D53" s="910" t="s">
        <v>23</v>
      </c>
      <c r="E53" s="869"/>
      <c r="F53" s="869"/>
      <c r="G53" s="864">
        <f t="shared" ref="G53:J54" si="19">F53+F53*L53</f>
        <v>0</v>
      </c>
      <c r="H53" s="864">
        <f t="shared" si="19"/>
        <v>0</v>
      </c>
      <c r="I53" s="864">
        <f t="shared" si="19"/>
        <v>0</v>
      </c>
      <c r="J53" s="864">
        <f t="shared" si="19"/>
        <v>0</v>
      </c>
      <c r="L53" s="953">
        <v>0</v>
      </c>
      <c r="M53" s="953">
        <f>L53</f>
        <v>0</v>
      </c>
      <c r="N53" s="953">
        <f t="shared" ref="N53:O53" si="20">M53</f>
        <v>0</v>
      </c>
      <c r="O53" s="953">
        <f t="shared" si="20"/>
        <v>0</v>
      </c>
      <c r="P53" s="878"/>
      <c r="Q53" s="878"/>
      <c r="R53" s="878"/>
      <c r="S53" s="878"/>
      <c r="T53" s="878"/>
      <c r="U53" s="878"/>
      <c r="V53" s="879"/>
    </row>
    <row r="54" spans="3:22" x14ac:dyDescent="0.35">
      <c r="C54" s="53" t="s">
        <v>679</v>
      </c>
      <c r="D54" s="910" t="s">
        <v>157</v>
      </c>
      <c r="E54" s="334">
        <f>IF(E53=0,0,E52/E53)</f>
        <v>0</v>
      </c>
      <c r="F54" s="334">
        <f>IF(F53=0,0,F52/F53)</f>
        <v>0</v>
      </c>
      <c r="G54" s="945">
        <f t="shared" si="19"/>
        <v>0</v>
      </c>
      <c r="H54" s="945">
        <f t="shared" si="19"/>
        <v>0</v>
      </c>
      <c r="I54" s="945">
        <f t="shared" si="19"/>
        <v>0</v>
      </c>
      <c r="J54" s="945">
        <f t="shared" si="19"/>
        <v>0</v>
      </c>
      <c r="L54" s="953">
        <v>0.03</v>
      </c>
      <c r="M54" s="953">
        <f>L54</f>
        <v>0.03</v>
      </c>
      <c r="N54" s="953">
        <f t="shared" ref="N54:O54" si="21">M54</f>
        <v>0.03</v>
      </c>
      <c r="O54" s="953">
        <f t="shared" si="21"/>
        <v>0.03</v>
      </c>
      <c r="P54" s="878"/>
      <c r="Q54" s="878"/>
      <c r="R54" s="878"/>
      <c r="S54" s="878"/>
      <c r="T54" s="878"/>
      <c r="U54" s="878"/>
      <c r="V54" s="879"/>
    </row>
    <row r="55" spans="3:22" x14ac:dyDescent="0.35">
      <c r="C55" s="53" t="s">
        <v>680</v>
      </c>
      <c r="D55" s="53"/>
      <c r="E55" s="346">
        <f>IF(E52=0,0,E56/E52)</f>
        <v>0</v>
      </c>
      <c r="F55" s="346">
        <f>IF(F52=0,0,F56/F52)</f>
        <v>0</v>
      </c>
      <c r="G55" s="926">
        <f>F55</f>
        <v>0</v>
      </c>
      <c r="H55" s="952">
        <f>G55</f>
        <v>0</v>
      </c>
      <c r="I55" s="952">
        <f>H55</f>
        <v>0</v>
      </c>
      <c r="J55" s="952">
        <f>I55</f>
        <v>0</v>
      </c>
      <c r="L55" s="51"/>
      <c r="P55" s="878"/>
      <c r="Q55" s="878"/>
      <c r="R55" s="878"/>
      <c r="S55" s="878"/>
      <c r="T55" s="878"/>
      <c r="U55" s="878"/>
      <c r="V55" s="879"/>
    </row>
    <row r="56" spans="3:22" x14ac:dyDescent="0.35">
      <c r="C56" s="53" t="s">
        <v>681</v>
      </c>
      <c r="D56" s="53" t="s">
        <v>157</v>
      </c>
      <c r="E56" s="869"/>
      <c r="F56" s="869"/>
      <c r="G56" s="151">
        <f>IF(G55=0,0,G52*G55)</f>
        <v>0</v>
      </c>
      <c r="H56" s="151">
        <f>IF(H55=0,0,H52*H55)</f>
        <v>0</v>
      </c>
      <c r="I56" s="151">
        <f>IF(I55=0,0,I52*I55)</f>
        <v>0</v>
      </c>
      <c r="J56" s="151">
        <f>IF(J55=0,0,J52*J55)</f>
        <v>0</v>
      </c>
      <c r="L56" s="51"/>
      <c r="P56" s="878"/>
      <c r="Q56" s="878"/>
      <c r="R56" s="878"/>
      <c r="S56" s="878"/>
      <c r="T56" s="878"/>
      <c r="U56" s="878"/>
      <c r="V56" s="879"/>
    </row>
    <row r="57" spans="3:22" x14ac:dyDescent="0.35">
      <c r="L57" s="51"/>
      <c r="P57" s="878"/>
      <c r="Q57" s="878"/>
      <c r="R57" s="878"/>
      <c r="S57" s="878"/>
      <c r="T57" s="878"/>
      <c r="U57" s="878"/>
      <c r="V57" s="879"/>
    </row>
    <row r="58" spans="3:22" x14ac:dyDescent="0.35">
      <c r="C58" s="656" t="s">
        <v>376</v>
      </c>
      <c r="D58" s="657"/>
      <c r="E58" s="657"/>
      <c r="F58" s="658"/>
      <c r="G58" s="950">
        <v>0.255</v>
      </c>
      <c r="H58" s="950">
        <v>0.255</v>
      </c>
      <c r="I58" s="950">
        <v>0.255</v>
      </c>
      <c r="J58" s="950">
        <v>0.255</v>
      </c>
      <c r="L58" s="1097" t="s">
        <v>586</v>
      </c>
      <c r="M58" s="1078"/>
      <c r="N58" s="1078"/>
      <c r="O58" s="1078"/>
      <c r="P58" s="878"/>
      <c r="Q58" s="878"/>
      <c r="R58" s="878"/>
      <c r="S58" s="878"/>
      <c r="T58" s="878"/>
      <c r="U58" s="878"/>
      <c r="V58" s="879"/>
    </row>
    <row r="59" spans="3:22" x14ac:dyDescent="0.35">
      <c r="C59" s="951" t="s">
        <v>576</v>
      </c>
      <c r="D59" s="662" t="s">
        <v>577</v>
      </c>
      <c r="E59" s="869"/>
      <c r="F59" s="869"/>
      <c r="G59" s="661">
        <f>G60*G61</f>
        <v>0</v>
      </c>
      <c r="H59" s="661">
        <f>H60*H61</f>
        <v>0</v>
      </c>
      <c r="I59" s="661">
        <f>I60*I61</f>
        <v>0</v>
      </c>
      <c r="J59" s="661">
        <f>J60*J61</f>
        <v>0</v>
      </c>
      <c r="L59" s="96">
        <f>$G$8</f>
        <v>2026</v>
      </c>
      <c r="M59" s="96">
        <f>$H$8</f>
        <v>2027</v>
      </c>
      <c r="N59" s="96">
        <f>$I$8</f>
        <v>2028</v>
      </c>
      <c r="O59" s="96">
        <f>$J$8</f>
        <v>2029</v>
      </c>
      <c r="P59" s="878"/>
      <c r="Q59" s="878"/>
      <c r="R59" s="878"/>
      <c r="S59" s="878"/>
      <c r="T59" s="878"/>
      <c r="U59" s="878"/>
      <c r="V59" s="879"/>
    </row>
    <row r="60" spans="3:22" x14ac:dyDescent="0.35">
      <c r="C60" s="53" t="s">
        <v>678</v>
      </c>
      <c r="D60" s="910" t="s">
        <v>23</v>
      </c>
      <c r="E60" s="869"/>
      <c r="F60" s="869"/>
      <c r="G60" s="864">
        <f t="shared" ref="G60:J61" si="22">F60+F60*L60</f>
        <v>0</v>
      </c>
      <c r="H60" s="864">
        <f t="shared" si="22"/>
        <v>0</v>
      </c>
      <c r="I60" s="864">
        <f t="shared" si="22"/>
        <v>0</v>
      </c>
      <c r="J60" s="864">
        <f t="shared" si="22"/>
        <v>0</v>
      </c>
      <c r="L60" s="953">
        <v>0</v>
      </c>
      <c r="M60" s="953">
        <f>L60</f>
        <v>0</v>
      </c>
      <c r="N60" s="953">
        <f t="shared" ref="N60:O60" si="23">M60</f>
        <v>0</v>
      </c>
      <c r="O60" s="953">
        <f t="shared" si="23"/>
        <v>0</v>
      </c>
      <c r="P60" s="878"/>
      <c r="Q60" s="878"/>
      <c r="R60" s="878"/>
      <c r="S60" s="878"/>
      <c r="T60" s="878"/>
      <c r="U60" s="878"/>
      <c r="V60" s="879"/>
    </row>
    <row r="61" spans="3:22" x14ac:dyDescent="0.35">
      <c r="C61" s="53" t="s">
        <v>679</v>
      </c>
      <c r="D61" s="910" t="s">
        <v>157</v>
      </c>
      <c r="E61" s="334">
        <f>IF(E60=0,0,E59/E60)</f>
        <v>0</v>
      </c>
      <c r="F61" s="334">
        <f>IF(F60=0,0,F59/F60)</f>
        <v>0</v>
      </c>
      <c r="G61" s="945">
        <f t="shared" si="22"/>
        <v>0</v>
      </c>
      <c r="H61" s="945">
        <f t="shared" si="22"/>
        <v>0</v>
      </c>
      <c r="I61" s="945">
        <f t="shared" si="22"/>
        <v>0</v>
      </c>
      <c r="J61" s="945">
        <f t="shared" si="22"/>
        <v>0</v>
      </c>
      <c r="L61" s="953">
        <v>0.03</v>
      </c>
      <c r="M61" s="953">
        <f>L61</f>
        <v>0.03</v>
      </c>
      <c r="N61" s="953">
        <f t="shared" ref="N61:O61" si="24">M61</f>
        <v>0.03</v>
      </c>
      <c r="O61" s="953">
        <f t="shared" si="24"/>
        <v>0.03</v>
      </c>
      <c r="P61" s="878"/>
      <c r="Q61" s="878"/>
      <c r="R61" s="878"/>
      <c r="S61" s="878"/>
      <c r="T61" s="878"/>
      <c r="U61" s="878"/>
      <c r="V61" s="879"/>
    </row>
    <row r="62" spans="3:22" x14ac:dyDescent="0.35">
      <c r="C62" s="53" t="s">
        <v>680</v>
      </c>
      <c r="D62" s="53"/>
      <c r="E62" s="346">
        <f>IF(E59=0,0,E63/E59)</f>
        <v>0</v>
      </c>
      <c r="F62" s="346">
        <f>IF(F59=0,0,F63/F59)</f>
        <v>0</v>
      </c>
      <c r="G62" s="926">
        <f>F62</f>
        <v>0</v>
      </c>
      <c r="H62" s="952">
        <f>G62</f>
        <v>0</v>
      </c>
      <c r="I62" s="952">
        <f>H62</f>
        <v>0</v>
      </c>
      <c r="J62" s="952">
        <f>I62</f>
        <v>0</v>
      </c>
      <c r="L62" s="51"/>
      <c r="P62" s="878"/>
      <c r="Q62" s="878"/>
      <c r="R62" s="878"/>
      <c r="S62" s="878"/>
      <c r="T62" s="878"/>
      <c r="U62" s="878"/>
      <c r="V62" s="879"/>
    </row>
    <row r="63" spans="3:22" x14ac:dyDescent="0.35">
      <c r="C63" s="53" t="s">
        <v>681</v>
      </c>
      <c r="D63" s="53" t="s">
        <v>157</v>
      </c>
      <c r="E63" s="869"/>
      <c r="F63" s="869"/>
      <c r="G63" s="151">
        <f>IF(G62=0,0,G59*G62)</f>
        <v>0</v>
      </c>
      <c r="H63" s="151">
        <f>IF(H62=0,0,H59*H62)</f>
        <v>0</v>
      </c>
      <c r="I63" s="151">
        <f>IF(I62=0,0,I59*I62)</f>
        <v>0</v>
      </c>
      <c r="J63" s="151">
        <f>IF(J62=0,0,J59*J62)</f>
        <v>0</v>
      </c>
      <c r="L63" s="51"/>
      <c r="P63" s="878"/>
      <c r="Q63" s="878"/>
      <c r="R63" s="878"/>
      <c r="S63" s="878"/>
      <c r="T63" s="878"/>
      <c r="U63" s="878"/>
      <c r="V63" s="879"/>
    </row>
    <row r="64" spans="3:22" x14ac:dyDescent="0.35">
      <c r="L64" s="51"/>
      <c r="P64" s="878"/>
      <c r="Q64" s="878"/>
      <c r="R64" s="878"/>
      <c r="S64" s="878"/>
      <c r="T64" s="878"/>
      <c r="U64" s="878"/>
      <c r="V64" s="879"/>
    </row>
    <row r="65" spans="3:22" x14ac:dyDescent="0.35">
      <c r="C65" s="804" t="s">
        <v>376</v>
      </c>
      <c r="D65" s="657"/>
      <c r="E65" s="657"/>
      <c r="F65" s="658"/>
      <c r="G65" s="950">
        <v>0.255</v>
      </c>
      <c r="H65" s="950">
        <v>0.255</v>
      </c>
      <c r="I65" s="950">
        <v>0.255</v>
      </c>
      <c r="J65" s="950">
        <v>0.255</v>
      </c>
      <c r="L65" s="1097" t="s">
        <v>586</v>
      </c>
      <c r="M65" s="1078"/>
      <c r="N65" s="1078"/>
      <c r="O65" s="1078"/>
      <c r="P65" s="878"/>
      <c r="Q65" s="878"/>
      <c r="R65" s="878"/>
      <c r="S65" s="878"/>
      <c r="T65" s="878"/>
      <c r="U65" s="878"/>
      <c r="V65" s="879"/>
    </row>
    <row r="66" spans="3:22" x14ac:dyDescent="0.35">
      <c r="C66" s="951" t="s">
        <v>576</v>
      </c>
      <c r="D66" s="662" t="s">
        <v>577</v>
      </c>
      <c r="E66" s="869"/>
      <c r="F66" s="869"/>
      <c r="G66" s="661">
        <f>G67*G68</f>
        <v>0</v>
      </c>
      <c r="H66" s="661">
        <f>H67*H68</f>
        <v>0</v>
      </c>
      <c r="I66" s="661">
        <f>I67*I68</f>
        <v>0</v>
      </c>
      <c r="J66" s="661">
        <f>J67*J68</f>
        <v>0</v>
      </c>
      <c r="L66" s="96">
        <f>$G$8</f>
        <v>2026</v>
      </c>
      <c r="M66" s="96">
        <f>$H$8</f>
        <v>2027</v>
      </c>
      <c r="N66" s="96">
        <f>$I$8</f>
        <v>2028</v>
      </c>
      <c r="O66" s="96">
        <f>$J$8</f>
        <v>2029</v>
      </c>
      <c r="P66" s="878"/>
      <c r="Q66" s="878"/>
      <c r="R66" s="878"/>
      <c r="S66" s="878"/>
      <c r="T66" s="878"/>
      <c r="U66" s="878"/>
      <c r="V66" s="879"/>
    </row>
    <row r="67" spans="3:22" x14ac:dyDescent="0.35">
      <c r="C67" s="53" t="s">
        <v>678</v>
      </c>
      <c r="D67" s="910" t="s">
        <v>23</v>
      </c>
      <c r="E67" s="869"/>
      <c r="F67" s="869"/>
      <c r="G67" s="864">
        <f t="shared" ref="G67:J68" si="25">F67+F67*L67</f>
        <v>0</v>
      </c>
      <c r="H67" s="864">
        <f t="shared" si="25"/>
        <v>0</v>
      </c>
      <c r="I67" s="864">
        <f t="shared" si="25"/>
        <v>0</v>
      </c>
      <c r="J67" s="864">
        <f t="shared" si="25"/>
        <v>0</v>
      </c>
      <c r="L67" s="953">
        <v>0</v>
      </c>
      <c r="M67" s="953">
        <f>L67</f>
        <v>0</v>
      </c>
      <c r="N67" s="953">
        <f t="shared" ref="N67:O67" si="26">M67</f>
        <v>0</v>
      </c>
      <c r="O67" s="953">
        <f t="shared" si="26"/>
        <v>0</v>
      </c>
      <c r="P67" s="878"/>
      <c r="Q67" s="878"/>
      <c r="R67" s="878"/>
      <c r="S67" s="878"/>
      <c r="T67" s="878"/>
      <c r="U67" s="878"/>
      <c r="V67" s="879"/>
    </row>
    <row r="68" spans="3:22" x14ac:dyDescent="0.35">
      <c r="C68" s="53" t="s">
        <v>679</v>
      </c>
      <c r="D68" s="910" t="s">
        <v>157</v>
      </c>
      <c r="E68" s="334">
        <f>IF(E67=0,0,E66/E67)</f>
        <v>0</v>
      </c>
      <c r="F68" s="334">
        <f>IF(F67=0,0,F66/F67)</f>
        <v>0</v>
      </c>
      <c r="G68" s="945">
        <f t="shared" si="25"/>
        <v>0</v>
      </c>
      <c r="H68" s="945">
        <f t="shared" si="25"/>
        <v>0</v>
      </c>
      <c r="I68" s="945">
        <f t="shared" si="25"/>
        <v>0</v>
      </c>
      <c r="J68" s="945">
        <f t="shared" si="25"/>
        <v>0</v>
      </c>
      <c r="L68" s="953">
        <v>0.03</v>
      </c>
      <c r="M68" s="953">
        <f>L68</f>
        <v>0.03</v>
      </c>
      <c r="N68" s="953">
        <f t="shared" ref="N68:O68" si="27">M68</f>
        <v>0.03</v>
      </c>
      <c r="O68" s="953">
        <f t="shared" si="27"/>
        <v>0.03</v>
      </c>
      <c r="P68" s="878"/>
      <c r="Q68" s="878"/>
      <c r="R68" s="878"/>
      <c r="S68" s="878"/>
      <c r="T68" s="878"/>
      <c r="U68" s="878"/>
      <c r="V68" s="879"/>
    </row>
    <row r="69" spans="3:22" x14ac:dyDescent="0.35">
      <c r="C69" s="53" t="s">
        <v>680</v>
      </c>
      <c r="D69" s="53"/>
      <c r="E69" s="346">
        <f>IF(E66=0,0,E70/E66)</f>
        <v>0</v>
      </c>
      <c r="F69" s="346">
        <f>IF(F66=0,0,F70/F66)</f>
        <v>0</v>
      </c>
      <c r="G69" s="926">
        <f>F69</f>
        <v>0</v>
      </c>
      <c r="H69" s="952">
        <f>G69</f>
        <v>0</v>
      </c>
      <c r="I69" s="952">
        <f>H69</f>
        <v>0</v>
      </c>
      <c r="J69" s="952">
        <f>I69</f>
        <v>0</v>
      </c>
      <c r="L69" s="51"/>
      <c r="P69" s="878"/>
      <c r="Q69" s="878"/>
      <c r="R69" s="878"/>
      <c r="S69" s="878"/>
      <c r="T69" s="878"/>
      <c r="U69" s="878"/>
      <c r="V69" s="879"/>
    </row>
    <row r="70" spans="3:22" x14ac:dyDescent="0.35">
      <c r="C70" s="53" t="s">
        <v>681</v>
      </c>
      <c r="D70" s="53" t="s">
        <v>157</v>
      </c>
      <c r="E70" s="869"/>
      <c r="F70" s="869"/>
      <c r="G70" s="151">
        <f>IF(G69=0,0,G66*G69)</f>
        <v>0</v>
      </c>
      <c r="H70" s="151">
        <f>IF(H69=0,0,H66*H69)</f>
        <v>0</v>
      </c>
      <c r="I70" s="151">
        <f>IF(I69=0,0,I66*I69)</f>
        <v>0</v>
      </c>
      <c r="J70" s="151">
        <f>IF(J69=0,0,J66*J69)</f>
        <v>0</v>
      </c>
      <c r="L70" s="51"/>
      <c r="P70" s="878"/>
      <c r="Q70" s="878"/>
      <c r="R70" s="878"/>
      <c r="S70" s="878"/>
      <c r="T70" s="878"/>
      <c r="U70" s="878"/>
      <c r="V70" s="879"/>
    </row>
    <row r="71" spans="3:22" x14ac:dyDescent="0.35">
      <c r="L71" s="51"/>
      <c r="P71" s="878"/>
      <c r="Q71" s="878"/>
      <c r="R71" s="878"/>
      <c r="S71" s="878"/>
      <c r="T71" s="878"/>
      <c r="U71" s="878"/>
      <c r="V71" s="879"/>
    </row>
    <row r="72" spans="3:22" x14ac:dyDescent="0.35">
      <c r="C72" s="804" t="s">
        <v>376</v>
      </c>
      <c r="D72" s="657"/>
      <c r="E72" s="657"/>
      <c r="F72" s="658"/>
      <c r="G72" s="950">
        <v>0.255</v>
      </c>
      <c r="H72" s="950">
        <v>0.255</v>
      </c>
      <c r="I72" s="950">
        <v>0.255</v>
      </c>
      <c r="J72" s="950">
        <v>0.255</v>
      </c>
      <c r="L72" s="1097" t="s">
        <v>586</v>
      </c>
      <c r="M72" s="1078"/>
      <c r="N72" s="1078"/>
      <c r="O72" s="1078"/>
      <c r="P72" s="878"/>
      <c r="Q72" s="878"/>
      <c r="R72" s="878"/>
      <c r="S72" s="878"/>
      <c r="T72" s="878"/>
      <c r="U72" s="878"/>
      <c r="V72" s="879"/>
    </row>
    <row r="73" spans="3:22" x14ac:dyDescent="0.35">
      <c r="C73" s="951" t="s">
        <v>576</v>
      </c>
      <c r="D73" s="662" t="s">
        <v>577</v>
      </c>
      <c r="E73" s="869"/>
      <c r="F73" s="869"/>
      <c r="G73" s="661">
        <f>G74*G75</f>
        <v>0</v>
      </c>
      <c r="H73" s="661">
        <f>H74*H75</f>
        <v>0</v>
      </c>
      <c r="I73" s="661">
        <f>I74*I75</f>
        <v>0</v>
      </c>
      <c r="J73" s="661">
        <f>J74*J75</f>
        <v>0</v>
      </c>
      <c r="L73" s="96">
        <f>$G$8</f>
        <v>2026</v>
      </c>
      <c r="M73" s="96">
        <f>$H$8</f>
        <v>2027</v>
      </c>
      <c r="N73" s="96">
        <f>$I$8</f>
        <v>2028</v>
      </c>
      <c r="O73" s="96">
        <f>$J$8</f>
        <v>2029</v>
      </c>
      <c r="P73" s="878"/>
      <c r="Q73" s="878"/>
      <c r="R73" s="878"/>
      <c r="S73" s="878"/>
      <c r="T73" s="878"/>
      <c r="U73" s="878"/>
      <c r="V73" s="879"/>
    </row>
    <row r="74" spans="3:22" x14ac:dyDescent="0.35">
      <c r="C74" s="53" t="s">
        <v>678</v>
      </c>
      <c r="D74" s="910" t="s">
        <v>23</v>
      </c>
      <c r="E74" s="869"/>
      <c r="F74" s="869"/>
      <c r="G74" s="864">
        <f t="shared" ref="G74:J75" si="28">F74+F74*L74</f>
        <v>0</v>
      </c>
      <c r="H74" s="864">
        <f t="shared" si="28"/>
        <v>0</v>
      </c>
      <c r="I74" s="864">
        <f t="shared" si="28"/>
        <v>0</v>
      </c>
      <c r="J74" s="864">
        <f t="shared" si="28"/>
        <v>0</v>
      </c>
      <c r="L74" s="953">
        <v>0</v>
      </c>
      <c r="M74" s="953">
        <f>L74</f>
        <v>0</v>
      </c>
      <c r="N74" s="953">
        <f t="shared" ref="N74:O74" si="29">M74</f>
        <v>0</v>
      </c>
      <c r="O74" s="953">
        <f t="shared" si="29"/>
        <v>0</v>
      </c>
      <c r="P74" s="878"/>
      <c r="Q74" s="878"/>
      <c r="R74" s="878"/>
      <c r="S74" s="878"/>
      <c r="T74" s="878"/>
      <c r="U74" s="878"/>
      <c r="V74" s="879"/>
    </row>
    <row r="75" spans="3:22" x14ac:dyDescent="0.35">
      <c r="C75" s="53" t="s">
        <v>679</v>
      </c>
      <c r="D75" s="910" t="s">
        <v>157</v>
      </c>
      <c r="E75" s="334">
        <f>IF(E74=0,0,E73/E74)</f>
        <v>0</v>
      </c>
      <c r="F75" s="334">
        <f>IF(F74=0,0,F73/F74)</f>
        <v>0</v>
      </c>
      <c r="G75" s="945">
        <f t="shared" si="28"/>
        <v>0</v>
      </c>
      <c r="H75" s="945">
        <f t="shared" si="28"/>
        <v>0</v>
      </c>
      <c r="I75" s="945">
        <f t="shared" si="28"/>
        <v>0</v>
      </c>
      <c r="J75" s="945">
        <f t="shared" si="28"/>
        <v>0</v>
      </c>
      <c r="L75" s="953">
        <v>0.03</v>
      </c>
      <c r="M75" s="953">
        <f>L75</f>
        <v>0.03</v>
      </c>
      <c r="N75" s="953">
        <f t="shared" ref="N75:O75" si="30">M75</f>
        <v>0.03</v>
      </c>
      <c r="O75" s="953">
        <f t="shared" si="30"/>
        <v>0.03</v>
      </c>
      <c r="P75" s="878"/>
      <c r="Q75" s="878"/>
      <c r="R75" s="878"/>
      <c r="S75" s="878"/>
      <c r="T75" s="878"/>
      <c r="U75" s="878"/>
      <c r="V75" s="879"/>
    </row>
    <row r="76" spans="3:22" x14ac:dyDescent="0.35">
      <c r="C76" s="53" t="s">
        <v>680</v>
      </c>
      <c r="D76" s="53"/>
      <c r="E76" s="346">
        <f>IF(E73=0,0,E77/E73)</f>
        <v>0</v>
      </c>
      <c r="F76" s="346">
        <f>IF(F73=0,0,F77/F73)</f>
        <v>0</v>
      </c>
      <c r="G76" s="926">
        <f>F76</f>
        <v>0</v>
      </c>
      <c r="H76" s="952">
        <f>G76</f>
        <v>0</v>
      </c>
      <c r="I76" s="952">
        <f>H76</f>
        <v>0</v>
      </c>
      <c r="J76" s="952">
        <f>I76</f>
        <v>0</v>
      </c>
      <c r="L76" s="51"/>
      <c r="P76" s="878"/>
      <c r="Q76" s="878"/>
      <c r="R76" s="878"/>
      <c r="S76" s="878"/>
      <c r="T76" s="878"/>
      <c r="U76" s="878"/>
      <c r="V76" s="879"/>
    </row>
    <row r="77" spans="3:22" x14ac:dyDescent="0.35">
      <c r="C77" s="53" t="s">
        <v>681</v>
      </c>
      <c r="D77" s="53" t="s">
        <v>157</v>
      </c>
      <c r="E77" s="869"/>
      <c r="F77" s="869"/>
      <c r="G77" s="151">
        <f>IF(G76=0,0,G73*G76)</f>
        <v>0</v>
      </c>
      <c r="H77" s="151">
        <f>IF(H76=0,0,H73*H76)</f>
        <v>0</v>
      </c>
      <c r="I77" s="151">
        <f>IF(I76=0,0,I73*I76)</f>
        <v>0</v>
      </c>
      <c r="J77" s="151">
        <f>IF(J76=0,0,J73*J76)</f>
        <v>0</v>
      </c>
      <c r="L77" s="51"/>
      <c r="P77" s="878"/>
      <c r="Q77" s="878"/>
      <c r="R77" s="878"/>
      <c r="S77" s="878"/>
      <c r="T77" s="878"/>
      <c r="U77" s="878"/>
      <c r="V77" s="879"/>
    </row>
    <row r="78" spans="3:22" x14ac:dyDescent="0.35">
      <c r="L78" s="51"/>
      <c r="P78" s="878"/>
      <c r="Q78" s="878"/>
      <c r="R78" s="878"/>
      <c r="S78" s="878"/>
      <c r="T78" s="878"/>
      <c r="U78" s="878"/>
      <c r="V78" s="879"/>
    </row>
    <row r="79" spans="3:22" x14ac:dyDescent="0.35">
      <c r="C79" s="804" t="s">
        <v>376</v>
      </c>
      <c r="D79" s="657"/>
      <c r="E79" s="657"/>
      <c r="F79" s="658"/>
      <c r="G79" s="950">
        <v>0.255</v>
      </c>
      <c r="H79" s="950">
        <v>0.255</v>
      </c>
      <c r="I79" s="950">
        <v>0.255</v>
      </c>
      <c r="J79" s="950">
        <v>0.255</v>
      </c>
      <c r="L79" s="1097" t="s">
        <v>586</v>
      </c>
      <c r="M79" s="1078"/>
      <c r="N79" s="1078"/>
      <c r="O79" s="1078"/>
      <c r="P79" s="878"/>
      <c r="Q79" s="878"/>
      <c r="R79" s="878"/>
      <c r="S79" s="878"/>
      <c r="T79" s="878"/>
      <c r="U79" s="878"/>
      <c r="V79" s="879"/>
    </row>
    <row r="80" spans="3:22" x14ac:dyDescent="0.35">
      <c r="C80" s="951" t="s">
        <v>576</v>
      </c>
      <c r="D80" s="662" t="s">
        <v>577</v>
      </c>
      <c r="E80" s="869"/>
      <c r="F80" s="869"/>
      <c r="G80" s="661">
        <f>G81*G82</f>
        <v>0</v>
      </c>
      <c r="H80" s="661">
        <f>H81*H82</f>
        <v>0</v>
      </c>
      <c r="I80" s="661">
        <f>I81*I82</f>
        <v>0</v>
      </c>
      <c r="J80" s="661">
        <f>J81*J82</f>
        <v>0</v>
      </c>
      <c r="L80" s="96">
        <f>$G$8</f>
        <v>2026</v>
      </c>
      <c r="M80" s="96">
        <f>$H$8</f>
        <v>2027</v>
      </c>
      <c r="N80" s="96">
        <f>$I$8</f>
        <v>2028</v>
      </c>
      <c r="O80" s="96">
        <f>$J$8</f>
        <v>2029</v>
      </c>
      <c r="P80" s="878"/>
      <c r="Q80" s="878"/>
      <c r="R80" s="878"/>
      <c r="S80" s="878"/>
      <c r="T80" s="878"/>
      <c r="U80" s="878"/>
      <c r="V80" s="879"/>
    </row>
    <row r="81" spans="3:22" x14ac:dyDescent="0.35">
      <c r="C81" s="53" t="s">
        <v>678</v>
      </c>
      <c r="D81" s="910" t="s">
        <v>23</v>
      </c>
      <c r="E81" s="869"/>
      <c r="F81" s="869"/>
      <c r="G81" s="864">
        <f t="shared" ref="G81:J82" si="31">F81+F81*L81</f>
        <v>0</v>
      </c>
      <c r="H81" s="864">
        <f t="shared" si="31"/>
        <v>0</v>
      </c>
      <c r="I81" s="864">
        <f t="shared" si="31"/>
        <v>0</v>
      </c>
      <c r="J81" s="864">
        <f t="shared" si="31"/>
        <v>0</v>
      </c>
      <c r="L81" s="953">
        <v>0</v>
      </c>
      <c r="M81" s="953">
        <f>L81</f>
        <v>0</v>
      </c>
      <c r="N81" s="953">
        <f t="shared" ref="N81:O81" si="32">M81</f>
        <v>0</v>
      </c>
      <c r="O81" s="953">
        <f t="shared" si="32"/>
        <v>0</v>
      </c>
      <c r="P81" s="878"/>
      <c r="Q81" s="878"/>
      <c r="R81" s="878"/>
      <c r="S81" s="878"/>
      <c r="T81" s="878"/>
      <c r="U81" s="878"/>
      <c r="V81" s="879"/>
    </row>
    <row r="82" spans="3:22" x14ac:dyDescent="0.35">
      <c r="C82" s="53" t="s">
        <v>679</v>
      </c>
      <c r="D82" s="910" t="s">
        <v>157</v>
      </c>
      <c r="E82" s="334">
        <f>IF(E81=0,0,E80/E81)</f>
        <v>0</v>
      </c>
      <c r="F82" s="334">
        <f>IF(F81=0,0,F80/F81)</f>
        <v>0</v>
      </c>
      <c r="G82" s="945">
        <f t="shared" si="31"/>
        <v>0</v>
      </c>
      <c r="H82" s="945">
        <f t="shared" si="31"/>
        <v>0</v>
      </c>
      <c r="I82" s="945">
        <f t="shared" si="31"/>
        <v>0</v>
      </c>
      <c r="J82" s="945">
        <f t="shared" si="31"/>
        <v>0</v>
      </c>
      <c r="L82" s="953">
        <v>0.03</v>
      </c>
      <c r="M82" s="953">
        <f>L82</f>
        <v>0.03</v>
      </c>
      <c r="N82" s="953">
        <f t="shared" ref="N82:O82" si="33">M82</f>
        <v>0.03</v>
      </c>
      <c r="O82" s="953">
        <f t="shared" si="33"/>
        <v>0.03</v>
      </c>
      <c r="P82" s="878"/>
      <c r="Q82" s="878"/>
      <c r="R82" s="878"/>
      <c r="S82" s="878"/>
      <c r="T82" s="878"/>
      <c r="U82" s="878"/>
      <c r="V82" s="879"/>
    </row>
    <row r="83" spans="3:22" x14ac:dyDescent="0.35">
      <c r="C83" s="53" t="s">
        <v>680</v>
      </c>
      <c r="D83" s="53"/>
      <c r="E83" s="346">
        <f>IF(E80=0,0,E84/E80)</f>
        <v>0</v>
      </c>
      <c r="F83" s="346">
        <f>IF(F80=0,0,F84/F80)</f>
        <v>0</v>
      </c>
      <c r="G83" s="926">
        <f>F83</f>
        <v>0</v>
      </c>
      <c r="H83" s="952">
        <f>G83</f>
        <v>0</v>
      </c>
      <c r="I83" s="952">
        <f>H83</f>
        <v>0</v>
      </c>
      <c r="J83" s="952">
        <f>I83</f>
        <v>0</v>
      </c>
      <c r="L83" s="51"/>
      <c r="P83" s="878"/>
      <c r="Q83" s="878"/>
      <c r="R83" s="878"/>
      <c r="S83" s="878"/>
      <c r="T83" s="878"/>
      <c r="U83" s="878"/>
      <c r="V83" s="879"/>
    </row>
    <row r="84" spans="3:22" x14ac:dyDescent="0.35">
      <c r="C84" s="53" t="s">
        <v>681</v>
      </c>
      <c r="D84" s="53" t="s">
        <v>157</v>
      </c>
      <c r="E84" s="869"/>
      <c r="F84" s="869"/>
      <c r="G84" s="151">
        <f>IF(G83=0,0,G80*G83)</f>
        <v>0</v>
      </c>
      <c r="H84" s="151">
        <f>IF(H83=0,0,H80*H83)</f>
        <v>0</v>
      </c>
      <c r="I84" s="151">
        <f>IF(I83=0,0,I80*I83)</f>
        <v>0</v>
      </c>
      <c r="J84" s="151">
        <f>IF(J83=0,0,J80*J83)</f>
        <v>0</v>
      </c>
      <c r="L84" s="736"/>
      <c r="M84" s="3"/>
      <c r="N84" s="3"/>
      <c r="O84" s="3"/>
      <c r="P84" s="883"/>
      <c r="Q84" s="883"/>
      <c r="R84" s="883"/>
      <c r="S84" s="883"/>
      <c r="T84" s="883"/>
      <c r="U84" s="883"/>
      <c r="V84" s="884"/>
    </row>
    <row r="86" spans="3:22" x14ac:dyDescent="0.35">
      <c r="C86" s="754" t="s">
        <v>882</v>
      </c>
      <c r="D86" s="757"/>
    </row>
    <row r="88" spans="3:22" x14ac:dyDescent="0.35">
      <c r="C88" s="197" t="s">
        <v>883</v>
      </c>
    </row>
    <row r="89" spans="3:22" x14ac:dyDescent="0.35">
      <c r="C89" s="8" t="s">
        <v>884</v>
      </c>
    </row>
    <row r="90" spans="3:22" x14ac:dyDescent="0.35">
      <c r="C90" s="8" t="s">
        <v>885</v>
      </c>
    </row>
  </sheetData>
  <sheetProtection algorithmName="SHA-512" hashValue="KIuXRNo3QWime9rmMcjaTh2QLtONBNt6d0bcJvIIRoqvv8ldAxHZnWZ3M6P1wEDlIzGHQCxDqKNebVSlEURyfg==" saltValue="fzgVM4u2k2Oa/oMG++YKDg==" spinCount="100000" sheet="1" objects="1" scenarios="1" formatCells="0" selectLockedCells="1"/>
  <mergeCells count="11">
    <mergeCell ref="L79:O79"/>
    <mergeCell ref="L44:O44"/>
    <mergeCell ref="L51:O51"/>
    <mergeCell ref="L58:O58"/>
    <mergeCell ref="L65:O65"/>
    <mergeCell ref="L72:O72"/>
    <mergeCell ref="F5:I5"/>
    <mergeCell ref="L16:O16"/>
    <mergeCell ref="L23:O23"/>
    <mergeCell ref="L30:O30"/>
    <mergeCell ref="L37:O37"/>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36E28-E1D8-4DD5-852B-9B22F03008AE}">
  <sheetPr codeName="Taul1"/>
  <dimension ref="B2:U32"/>
  <sheetViews>
    <sheetView workbookViewId="0">
      <selection activeCell="R26" sqref="R26"/>
    </sheetView>
  </sheetViews>
  <sheetFormatPr defaultColWidth="8.7265625" defaultRowHeight="14.5" x14ac:dyDescent="0.35"/>
  <cols>
    <col min="1" max="1" width="2.7265625" style="5" customWidth="1"/>
    <col min="2" max="19" width="8.7265625" style="5"/>
    <col min="20" max="20" width="9.81640625" style="5" bestFit="1" customWidth="1"/>
    <col min="21" max="16384" width="8.7265625" style="5"/>
  </cols>
  <sheetData>
    <row r="2" spans="2:21" ht="21" x14ac:dyDescent="0.5">
      <c r="B2" s="16" t="s">
        <v>64</v>
      </c>
    </row>
    <row r="7" spans="2:21" x14ac:dyDescent="0.35">
      <c r="B7" s="14" t="s">
        <v>80</v>
      </c>
    </row>
    <row r="8" spans="2:21" x14ac:dyDescent="0.35">
      <c r="B8" s="994" t="s">
        <v>79</v>
      </c>
      <c r="C8" s="995"/>
      <c r="D8" s="995"/>
      <c r="E8" s="995"/>
      <c r="F8" s="995"/>
      <c r="G8" s="995"/>
      <c r="H8" s="995"/>
      <c r="I8" s="995"/>
      <c r="J8" s="995"/>
      <c r="K8" s="995"/>
      <c r="L8" s="996"/>
      <c r="R8" s="5" t="s">
        <v>202</v>
      </c>
    </row>
    <row r="10" spans="2:21" x14ac:dyDescent="0.35">
      <c r="B10" s="14" t="s">
        <v>77</v>
      </c>
      <c r="R10" s="5" t="s">
        <v>192</v>
      </c>
      <c r="T10" s="129">
        <v>1000000</v>
      </c>
      <c r="U10" s="5" t="s">
        <v>157</v>
      </c>
    </row>
    <row r="11" spans="2:21" x14ac:dyDescent="0.35">
      <c r="B11" s="985" t="s">
        <v>78</v>
      </c>
      <c r="C11" s="986"/>
      <c r="D11" s="986"/>
      <c r="E11" s="986"/>
      <c r="F11" s="986"/>
      <c r="G11" s="986"/>
      <c r="H11" s="986"/>
      <c r="I11" s="986"/>
      <c r="J11" s="986"/>
      <c r="K11" s="986"/>
      <c r="L11" s="987"/>
      <c r="R11" s="5" t="s">
        <v>194</v>
      </c>
      <c r="T11" s="5">
        <v>10</v>
      </c>
      <c r="U11" s="5" t="s">
        <v>196</v>
      </c>
    </row>
    <row r="12" spans="2:21" x14ac:dyDescent="0.35">
      <c r="B12" s="988"/>
      <c r="C12" s="989"/>
      <c r="D12" s="989"/>
      <c r="E12" s="989"/>
      <c r="F12" s="989"/>
      <c r="G12" s="989"/>
      <c r="H12" s="989"/>
      <c r="I12" s="989"/>
      <c r="J12" s="989"/>
      <c r="K12" s="989"/>
      <c r="L12" s="990"/>
      <c r="R12" s="5" t="s">
        <v>193</v>
      </c>
      <c r="T12" s="129">
        <f>T10/T11</f>
        <v>100000</v>
      </c>
      <c r="U12" s="5" t="s">
        <v>197</v>
      </c>
    </row>
    <row r="13" spans="2:21" x14ac:dyDescent="0.35">
      <c r="B13" s="988"/>
      <c r="C13" s="989"/>
      <c r="D13" s="989"/>
      <c r="E13" s="989"/>
      <c r="F13" s="989"/>
      <c r="G13" s="989"/>
      <c r="H13" s="989"/>
      <c r="I13" s="989"/>
      <c r="J13" s="989"/>
      <c r="K13" s="989"/>
      <c r="L13" s="990"/>
      <c r="R13" s="5" t="s">
        <v>198</v>
      </c>
      <c r="T13" s="129">
        <f>T12/12</f>
        <v>8333.3333333333339</v>
      </c>
      <c r="U13" s="5" t="s">
        <v>168</v>
      </c>
    </row>
    <row r="14" spans="2:21" x14ac:dyDescent="0.35">
      <c r="B14" s="988"/>
      <c r="C14" s="989"/>
      <c r="D14" s="989"/>
      <c r="E14" s="989"/>
      <c r="F14" s="989"/>
      <c r="G14" s="989"/>
      <c r="H14" s="989"/>
      <c r="I14" s="989"/>
      <c r="J14" s="989"/>
      <c r="K14" s="989"/>
      <c r="L14" s="990"/>
      <c r="R14" s="5" t="s">
        <v>199</v>
      </c>
      <c r="T14" s="128">
        <f>T12/365</f>
        <v>273.97260273972603</v>
      </c>
      <c r="U14" s="5" t="s">
        <v>200</v>
      </c>
    </row>
    <row r="15" spans="2:21" x14ac:dyDescent="0.35">
      <c r="B15" s="988"/>
      <c r="C15" s="989"/>
      <c r="D15" s="989"/>
      <c r="E15" s="989"/>
      <c r="F15" s="989"/>
      <c r="G15" s="989"/>
      <c r="H15" s="989"/>
      <c r="I15" s="989"/>
      <c r="J15" s="989"/>
      <c r="K15" s="989"/>
      <c r="L15" s="990"/>
    </row>
    <row r="16" spans="2:21" x14ac:dyDescent="0.35">
      <c r="B16" s="988"/>
      <c r="C16" s="989"/>
      <c r="D16" s="989"/>
      <c r="E16" s="989"/>
      <c r="F16" s="989"/>
      <c r="G16" s="989"/>
      <c r="H16" s="989"/>
      <c r="I16" s="989"/>
      <c r="J16" s="989"/>
      <c r="K16" s="989"/>
      <c r="L16" s="990"/>
      <c r="R16" s="5" t="s">
        <v>195</v>
      </c>
      <c r="T16" s="5">
        <v>25</v>
      </c>
      <c r="U16" s="5" t="s">
        <v>201</v>
      </c>
    </row>
    <row r="17" spans="2:20" x14ac:dyDescent="0.35">
      <c r="B17" s="988"/>
      <c r="C17" s="989"/>
      <c r="D17" s="989"/>
      <c r="E17" s="989"/>
      <c r="F17" s="989"/>
      <c r="G17" s="989"/>
      <c r="H17" s="989"/>
      <c r="I17" s="989"/>
      <c r="J17" s="989"/>
      <c r="K17" s="989"/>
      <c r="L17" s="990"/>
    </row>
    <row r="18" spans="2:20" x14ac:dyDescent="0.35">
      <c r="B18" s="988"/>
      <c r="C18" s="989"/>
      <c r="D18" s="989"/>
      <c r="E18" s="989"/>
      <c r="F18" s="989"/>
      <c r="G18" s="989"/>
      <c r="H18" s="989"/>
      <c r="I18" s="989"/>
      <c r="J18" s="989"/>
      <c r="K18" s="989"/>
      <c r="L18" s="990"/>
      <c r="R18" s="5" t="s">
        <v>81</v>
      </c>
      <c r="T18" s="129">
        <f>T14*T16</f>
        <v>6849.3150684931506</v>
      </c>
    </row>
    <row r="19" spans="2:20" x14ac:dyDescent="0.35">
      <c r="B19" s="991"/>
      <c r="C19" s="992"/>
      <c r="D19" s="992"/>
      <c r="E19" s="992"/>
      <c r="F19" s="992"/>
      <c r="G19" s="992"/>
      <c r="H19" s="992"/>
      <c r="I19" s="992"/>
      <c r="J19" s="992"/>
      <c r="K19" s="992"/>
      <c r="L19" s="993"/>
    </row>
    <row r="21" spans="2:20" x14ac:dyDescent="0.35">
      <c r="R21" s="130" t="s">
        <v>204</v>
      </c>
    </row>
    <row r="23" spans="2:20" x14ac:dyDescent="0.35">
      <c r="B23" s="5" t="s">
        <v>180</v>
      </c>
    </row>
    <row r="24" spans="2:20" x14ac:dyDescent="0.35">
      <c r="B24" s="5" t="s">
        <v>181</v>
      </c>
    </row>
    <row r="25" spans="2:20" x14ac:dyDescent="0.35">
      <c r="B25" s="5" t="s">
        <v>182</v>
      </c>
      <c r="R25" s="5" t="s">
        <v>206</v>
      </c>
    </row>
    <row r="26" spans="2:20" x14ac:dyDescent="0.35">
      <c r="B26" s="5" t="s">
        <v>183</v>
      </c>
    </row>
    <row r="27" spans="2:20" x14ac:dyDescent="0.35">
      <c r="B27" s="5" t="s">
        <v>188</v>
      </c>
    </row>
    <row r="28" spans="2:20" x14ac:dyDescent="0.35">
      <c r="B28" s="5" t="s">
        <v>189</v>
      </c>
    </row>
    <row r="31" spans="2:20" x14ac:dyDescent="0.35">
      <c r="B31" s="14" t="s">
        <v>191</v>
      </c>
    </row>
    <row r="32" spans="2:20" x14ac:dyDescent="0.35">
      <c r="B32" s="5" t="s">
        <v>190</v>
      </c>
    </row>
  </sheetData>
  <mergeCells count="2">
    <mergeCell ref="B11:L19"/>
    <mergeCell ref="B8:L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3F3A-1186-446F-B262-68E2AB232528}">
  <sheetPr codeName="Taul16"/>
  <dimension ref="B1:S89"/>
  <sheetViews>
    <sheetView workbookViewId="0">
      <selection activeCell="H30" sqref="H30"/>
    </sheetView>
  </sheetViews>
  <sheetFormatPr defaultColWidth="9.1796875" defaultRowHeight="16" customHeight="1" x14ac:dyDescent="0.35"/>
  <cols>
    <col min="1" max="1" width="2.7265625" style="5" customWidth="1"/>
    <col min="2" max="2" width="10.7265625" style="5" customWidth="1"/>
    <col min="3" max="3" width="3.7265625" style="5" customWidth="1"/>
    <col min="4" max="4" width="55.7265625" style="5" customWidth="1"/>
    <col min="5" max="5" width="3.7265625" style="10" customWidth="1"/>
    <col min="6" max="11" width="12.7265625" style="5" customWidth="1"/>
    <col min="12" max="12" width="1.7265625" style="5" customWidth="1"/>
    <col min="13" max="13" width="56.7265625" style="5" customWidth="1"/>
    <col min="14" max="19" width="12.7265625" style="5" customWidth="1"/>
    <col min="20" max="20" width="2.7265625" style="5" customWidth="1"/>
    <col min="21" max="16384" width="9.1796875" style="5"/>
  </cols>
  <sheetData>
    <row r="1" spans="2:19" ht="15.75" customHeight="1" x14ac:dyDescent="0.35"/>
    <row r="2" spans="2:19" ht="15.75" customHeight="1" x14ac:dyDescent="0.5">
      <c r="B2" s="822" t="s">
        <v>626</v>
      </c>
      <c r="D2" s="140" t="s">
        <v>589</v>
      </c>
    </row>
    <row r="3" spans="2:19" ht="15.75" customHeight="1" x14ac:dyDescent="0.35">
      <c r="B3" s="10"/>
      <c r="D3" s="141"/>
    </row>
    <row r="4" spans="2:19" ht="15.75" customHeight="1" x14ac:dyDescent="0.35">
      <c r="B4" s="10"/>
      <c r="D4" s="246" t="s">
        <v>867</v>
      </c>
      <c r="M4" s="246" t="s">
        <v>867</v>
      </c>
    </row>
    <row r="5" spans="2:19" ht="15.75" customHeight="1" x14ac:dyDescent="0.35">
      <c r="B5" s="10"/>
      <c r="D5" s="663" t="str">
        <f>'1 INVESTOINTISUUNNITELMA'!D5</f>
        <v>Malliyritys Oy</v>
      </c>
      <c r="M5" s="663" t="str">
        <f>'1 INVESTOINTISUUNNITELMA'!D5</f>
        <v>Malliyritys Oy</v>
      </c>
    </row>
    <row r="6" spans="2:19" ht="16" customHeight="1" thickBot="1" x14ac:dyDescent="0.4"/>
    <row r="7" spans="2:19" ht="16" customHeight="1" x14ac:dyDescent="0.35">
      <c r="C7" s="408"/>
      <c r="D7" s="470" t="s">
        <v>570</v>
      </c>
      <c r="E7" s="471"/>
      <c r="F7" s="824" t="s">
        <v>561</v>
      </c>
      <c r="G7" s="827" t="s">
        <v>561</v>
      </c>
      <c r="H7" s="813" t="s">
        <v>447</v>
      </c>
      <c r="I7" s="806" t="s">
        <v>444</v>
      </c>
      <c r="J7" s="806" t="s">
        <v>445</v>
      </c>
      <c r="K7" s="807" t="s">
        <v>446</v>
      </c>
      <c r="M7" s="340" t="s">
        <v>571</v>
      </c>
      <c r="N7" s="827" t="str">
        <f>F7</f>
        <v>Toteuma</v>
      </c>
      <c r="O7" s="827" t="str">
        <f t="shared" ref="O7:R8" si="0">G7</f>
        <v>Toteuma</v>
      </c>
      <c r="P7" s="806" t="str">
        <f t="shared" si="0"/>
        <v>Ennuste 1</v>
      </c>
      <c r="Q7" s="806" t="str">
        <f t="shared" si="0"/>
        <v>Ennuste 2</v>
      </c>
      <c r="R7" s="806" t="str">
        <f t="shared" si="0"/>
        <v>Ennuste 3</v>
      </c>
      <c r="S7" s="807" t="str">
        <f>K7</f>
        <v>Ennuste 4</v>
      </c>
    </row>
    <row r="8" spans="2:19" ht="16" customHeight="1" x14ac:dyDescent="0.4">
      <c r="C8" s="412"/>
      <c r="D8" s="341"/>
      <c r="E8" s="472"/>
      <c r="F8" s="814">
        <f>G8-1</f>
        <v>2024</v>
      </c>
      <c r="G8" s="808">
        <f>H8-1</f>
        <v>2025</v>
      </c>
      <c r="H8" s="815">
        <f>'1 INVESTOINTISUUNNITELMA'!E16</f>
        <v>2026</v>
      </c>
      <c r="I8" s="808">
        <f>H8+1</f>
        <v>2027</v>
      </c>
      <c r="J8" s="808">
        <f t="shared" ref="J8:K8" si="1">I8+1</f>
        <v>2028</v>
      </c>
      <c r="K8" s="809">
        <f t="shared" si="1"/>
        <v>2029</v>
      </c>
      <c r="M8" s="412"/>
      <c r="N8" s="808">
        <f>F8</f>
        <v>2024</v>
      </c>
      <c r="O8" s="808">
        <f t="shared" si="0"/>
        <v>2025</v>
      </c>
      <c r="P8" s="808">
        <f t="shared" si="0"/>
        <v>2026</v>
      </c>
      <c r="Q8" s="808">
        <f t="shared" si="0"/>
        <v>2027</v>
      </c>
      <c r="R8" s="808">
        <f t="shared" si="0"/>
        <v>2028</v>
      </c>
      <c r="S8" s="809">
        <f>K8</f>
        <v>2029</v>
      </c>
    </row>
    <row r="9" spans="2:19" ht="16" customHeight="1" x14ac:dyDescent="0.35">
      <c r="C9" s="174"/>
      <c r="D9" s="14" t="s">
        <v>274</v>
      </c>
      <c r="F9" s="44"/>
      <c r="G9" s="44"/>
      <c r="H9" s="44"/>
      <c r="I9" s="44"/>
      <c r="J9" s="44"/>
      <c r="K9" s="175"/>
      <c r="M9" s="195" t="s">
        <v>344</v>
      </c>
      <c r="S9" s="193"/>
    </row>
    <row r="10" spans="2:19" ht="16" customHeight="1" x14ac:dyDescent="0.35">
      <c r="C10" s="176" t="s">
        <v>275</v>
      </c>
      <c r="D10" s="5" t="s">
        <v>280</v>
      </c>
      <c r="E10" s="325" t="s">
        <v>222</v>
      </c>
      <c r="F10" s="661">
        <f>'2 &amp; 7 TULOSSUUNNITELMA'!F26+'2 &amp; 7 TULOSSUUNNITELMA'!F27-'2 &amp; 7 TULOSSUUNNITELMA'!F21</f>
        <v>0</v>
      </c>
      <c r="G10" s="661">
        <f>'2 &amp; 7 TULOSSUUNNITELMA'!H26+'2 &amp; 7 TULOSSUUNNITELMA'!H27-'2 &amp; 7 TULOSSUUNNITELMA'!H21</f>
        <v>0</v>
      </c>
      <c r="H10" s="151">
        <f>'2 &amp; 7 TULOSSUUNNITELMA'!J26+'2 &amp; 7 TULOSSUUNNITELMA'!J27-'2 &amp; 7 TULOSSUUNNITELMA'!J21</f>
        <v>0</v>
      </c>
      <c r="I10" s="151">
        <f>'2 &amp; 7 TULOSSUUNNITELMA'!L26+'2 &amp; 7 TULOSSUUNNITELMA'!L27-'2 &amp; 7 TULOSSUUNNITELMA'!L21</f>
        <v>0</v>
      </c>
      <c r="J10" s="151">
        <f>'2 &amp; 7 TULOSSUUNNITELMA'!N26+'2 &amp; 7 TULOSSUUNNITELMA'!N27-'2 &amp; 7 TULOSSUUNNITELMA'!N21</f>
        <v>0</v>
      </c>
      <c r="K10" s="177">
        <f>'2 &amp; 7 TULOSSUUNNITELMA'!P26+'2 &amp; 7 TULOSSUUNNITELMA'!P27-'2 &amp; 7 TULOSSUUNNITELMA'!P21</f>
        <v>0</v>
      </c>
      <c r="M10" s="174" t="s">
        <v>345</v>
      </c>
      <c r="N10" s="151">
        <f>'2 &amp; 7 TULOSSUUNNITELMA'!F11</f>
        <v>0</v>
      </c>
      <c r="O10" s="151">
        <f>'2 &amp; 7 TULOSSUUNNITELMA'!H11</f>
        <v>0</v>
      </c>
      <c r="P10" s="151">
        <f>'2 &amp; 7 TULOSSUUNNITELMA'!J11</f>
        <v>0</v>
      </c>
      <c r="Q10" s="151">
        <f>'2 &amp; 7 TULOSSUUNNITELMA'!L11</f>
        <v>0</v>
      </c>
      <c r="R10" s="151">
        <f>'2 &amp; 7 TULOSSUUNNITELMA'!N11</f>
        <v>0</v>
      </c>
      <c r="S10" s="177">
        <f>'2 &amp; 7 TULOSSUUNNITELMA'!P11</f>
        <v>0</v>
      </c>
    </row>
    <row r="11" spans="2:19" ht="16" customHeight="1" x14ac:dyDescent="0.35">
      <c r="C11" s="176" t="s">
        <v>276</v>
      </c>
      <c r="D11" s="5" t="s">
        <v>281</v>
      </c>
      <c r="E11" s="325" t="s">
        <v>222</v>
      </c>
      <c r="F11" s="661"/>
      <c r="G11" s="661"/>
      <c r="H11" s="151">
        <f>'1 INVESTOINTISUUNNITELMA'!E48+'1 INVESTOINTISUUNNITELMA'!E49</f>
        <v>0</v>
      </c>
      <c r="I11" s="151">
        <f>'1 INVESTOINTISUUNNITELMA'!F48+'1 INVESTOINTISUUNNITELMA'!F49</f>
        <v>0</v>
      </c>
      <c r="J11" s="151">
        <f>'1 INVESTOINTISUUNNITELMA'!G48+'1 INVESTOINTISUUNNITELMA'!G49</f>
        <v>0</v>
      </c>
      <c r="K11" s="177">
        <f>'1 INVESTOINTISUUNNITELMA'!H48+'1 INVESTOINTISUUNNITELMA'!H49</f>
        <v>0</v>
      </c>
      <c r="M11" s="174" t="s">
        <v>667</v>
      </c>
      <c r="N11" s="151">
        <f>IF('2 &amp; 7 TULOSSUUNNITELMA'!F33=0,0,N10/'2 &amp; 7 TULOSSUUNNITELMA'!F33)</f>
        <v>0</v>
      </c>
      <c r="O11" s="151">
        <f>IF('2 &amp; 7 TULOSSUUNNITELMA'!H33=0,0,O10/'2 &amp; 7 TULOSSUUNNITELMA'!H33)</f>
        <v>0</v>
      </c>
      <c r="P11" s="151">
        <f>IF('2 &amp; 7 TULOSSUUNNITELMA'!J33=0,0,P10/'2 &amp; 7 TULOSSUUNNITELMA'!J33)</f>
        <v>0</v>
      </c>
      <c r="Q11" s="151">
        <f>IF('2 &amp; 7 TULOSSUUNNITELMA'!L33=0,0,Q10/'2 &amp; 7 TULOSSUUNNITELMA'!L33)</f>
        <v>0</v>
      </c>
      <c r="R11" s="151">
        <f>IF('2 &amp; 7 TULOSSUUNNITELMA'!N33=0,0,R10/'2 &amp; 7 TULOSSUUNNITELMA'!N33)</f>
        <v>0</v>
      </c>
      <c r="S11" s="177">
        <f>IF('2 &amp; 7 TULOSSUUNNITELMA'!P33=0,0,S10/'2 &amp; 7 TULOSSUUNNITELMA'!P33)</f>
        <v>0</v>
      </c>
    </row>
    <row r="12" spans="2:19" ht="16" customHeight="1" x14ac:dyDescent="0.35">
      <c r="C12" s="176" t="s">
        <v>277</v>
      </c>
      <c r="D12" s="5" t="s">
        <v>282</v>
      </c>
      <c r="E12" s="325" t="s">
        <v>222</v>
      </c>
      <c r="F12" s="661"/>
      <c r="G12" s="661"/>
      <c r="H12" s="320">
        <f>'4 LAINAT'!G40+IF('3 TASE'!I71-'3 TASE'!H71&gt;0,'3 TASE'!I71-'3 TASE'!H71,0)+IF('3 TASE'!I69-'3 TASE'!H69&gt;0,'3 TASE'!I69-'3 TASE'!H69,0)</f>
        <v>0</v>
      </c>
      <c r="I12" s="320">
        <f>'4 LAINAT'!H40+IF('3 TASE'!J71-'3 TASE'!I71&gt;0,'3 TASE'!J71-'3 TASE'!I71,0)+IF('3 TASE'!J69-'3 TASE'!I69&gt;0,'3 TASE'!J69-'3 TASE'!I69,0)</f>
        <v>0</v>
      </c>
      <c r="J12" s="320">
        <f>'4 LAINAT'!I40+IF('3 TASE'!K71-'3 TASE'!J71&gt;0,'3 TASE'!K71-'3 TASE'!J71,0)+IF('3 TASE'!K69-'3 TASE'!J69&gt;0,'3 TASE'!K69-'3 TASE'!J69,0)</f>
        <v>0</v>
      </c>
      <c r="K12" s="326">
        <f>'4 LAINAT'!J40+IF('3 TASE'!L71-'3 TASE'!K71&gt;0,'3 TASE'!L71-'3 TASE'!K71,0)+IF('3 TASE'!L69-'3 TASE'!K69&gt;0,'3 TASE'!L69-'3 TASE'!K69,0)</f>
        <v>0</v>
      </c>
      <c r="M12" s="174" t="s">
        <v>346</v>
      </c>
      <c r="N12" s="53">
        <f>'2 &amp; 7 TULOSSUUNNITELMA'!F33</f>
        <v>365</v>
      </c>
      <c r="O12" s="53">
        <f>'2 &amp; 7 TULOSSUUNNITELMA'!H33</f>
        <v>335</v>
      </c>
      <c r="P12" s="53">
        <f>'2 &amp; 7 TULOSSUUNNITELMA'!J33</f>
        <v>335</v>
      </c>
      <c r="Q12" s="53">
        <f>'2 &amp; 7 TULOSSUUNNITELMA'!L33</f>
        <v>335</v>
      </c>
      <c r="R12" s="53">
        <f>'2 &amp; 7 TULOSSUUNNITELMA'!N33</f>
        <v>335</v>
      </c>
      <c r="S12" s="188">
        <f>'2 &amp; 7 TULOSSUUNNITELMA'!P33</f>
        <v>335</v>
      </c>
    </row>
    <row r="13" spans="2:19" ht="16" customHeight="1" x14ac:dyDescent="0.35">
      <c r="C13" s="176" t="s">
        <v>278</v>
      </c>
      <c r="D13" s="5" t="s">
        <v>283</v>
      </c>
      <c r="E13" s="325" t="s">
        <v>222</v>
      </c>
      <c r="F13" s="661"/>
      <c r="G13" s="661"/>
      <c r="H13" s="151">
        <f>'4 LAINAT'!G42</f>
        <v>0</v>
      </c>
      <c r="I13" s="151">
        <f>'4 LAINAT'!J43</f>
        <v>0</v>
      </c>
      <c r="J13" s="151">
        <f>'4 LAINAT'!M44</f>
        <v>0</v>
      </c>
      <c r="K13" s="177">
        <f>'4 LAINAT'!P45</f>
        <v>0</v>
      </c>
      <c r="M13" s="174" t="s">
        <v>623</v>
      </c>
      <c r="N13" s="151">
        <f>N78</f>
        <v>0</v>
      </c>
      <c r="O13" s="151">
        <f t="shared" ref="O13:S13" si="2">O78</f>
        <v>0</v>
      </c>
      <c r="P13" s="151">
        <f t="shared" si="2"/>
        <v>0</v>
      </c>
      <c r="Q13" s="151">
        <f t="shared" si="2"/>
        <v>0</v>
      </c>
      <c r="R13" s="151">
        <f t="shared" si="2"/>
        <v>0</v>
      </c>
      <c r="S13" s="177">
        <f t="shared" si="2"/>
        <v>0</v>
      </c>
    </row>
    <row r="14" spans="2:19" ht="16" customHeight="1" x14ac:dyDescent="0.35">
      <c r="C14" s="176" t="s">
        <v>279</v>
      </c>
      <c r="D14" s="5" t="s">
        <v>284</v>
      </c>
      <c r="E14" s="325" t="s">
        <v>222</v>
      </c>
      <c r="F14" s="661"/>
      <c r="G14" s="661"/>
      <c r="H14" s="151">
        <f>IF('3 TASE'!I75-'3 TASE'!H75&gt;0,'3 TASE'!I75-'3 TASE'!H75,0)+IF('3 TASE'!I76-'3 TASE'!H76&gt;0,'3 TASE'!I76-'3 TASE'!H76,0)</f>
        <v>0</v>
      </c>
      <c r="I14" s="151">
        <f>IF('3 TASE'!J75-'3 TASE'!I75&gt;0,'3 TASE'!J75-'3 TASE'!I75,0)+IF('3 TASE'!J76-'3 TASE'!I76&gt;0,'3 TASE'!J76-'3 TASE'!I76,0)</f>
        <v>0</v>
      </c>
      <c r="J14" s="151">
        <f>IF('3 TASE'!K75-'3 TASE'!J75&gt;0,'3 TASE'!K75-'3 TASE'!J75,0)+IF('3 TASE'!K76-'3 TASE'!J76&gt;0,'3 TASE'!K76-'3 TASE'!J76,0)</f>
        <v>0</v>
      </c>
      <c r="K14" s="177">
        <f>IF('3 TASE'!L75-'3 TASE'!K75&gt;0,'3 TASE'!L75-'3 TASE'!K75,0)+IF('3 TASE'!L76-'3 TASE'!K76&gt;0,'3 TASE'!L76-'3 TASE'!K76,0)</f>
        <v>0</v>
      </c>
      <c r="M14" s="195" t="s">
        <v>347</v>
      </c>
      <c r="S14" s="193"/>
    </row>
    <row r="15" spans="2:19" ht="29" x14ac:dyDescent="0.35">
      <c r="C15" s="176" t="s">
        <v>285</v>
      </c>
      <c r="D15" s="345" t="s">
        <v>907</v>
      </c>
      <c r="F15" s="661"/>
      <c r="G15" s="661"/>
      <c r="H15" s="151">
        <f>'1 INVESTOINTISUUNNITELMA'!E61+'1 INVESTOINTISUUNNITELMA'!E51+'3 TASE'!I33+'3 TASE'!I13+'3 TASE'!I18+'3 TASE'!I21+'3 TASE'!I25+'3 TASE'!I29+'3 TASE'!I67</f>
        <v>0</v>
      </c>
      <c r="I15" s="151">
        <f>'1 INVESTOINTISUUNNITELMA'!F61+'1 INVESTOINTISUUNNITELMA'!F51+'3 TASE'!J33+'3 TASE'!J13+'3 TASE'!J18+'3 TASE'!J21+'3 TASE'!J25+'3 TASE'!J29+'3 TASE'!J67</f>
        <v>0</v>
      </c>
      <c r="J15" s="151">
        <f>'1 INVESTOINTISUUNNITELMA'!G61+'1 INVESTOINTISUUNNITELMA'!G51+'3 TASE'!K33+'3 TASE'!K13+'3 TASE'!K18+'3 TASE'!K21+'3 TASE'!K25+'3 TASE'!K29+'3 TASE'!K67</f>
        <v>0</v>
      </c>
      <c r="K15" s="177">
        <f>'1 INVESTOINTISUUNNITELMA'!H61+'1 INVESTOINTISUUNNITELMA'!H51+'3 TASE'!L33+'3 TASE'!L13+'3 TASE'!L18+'3 TASE'!L21+'3 TASE'!L25+'3 TASE'!L29+'3 TASE'!L67</f>
        <v>0</v>
      </c>
      <c r="M15" s="174" t="s">
        <v>348</v>
      </c>
      <c r="N15" s="151">
        <f>'2 &amp; 7 TULOSSUUNNITELMA'!F20</f>
        <v>0</v>
      </c>
      <c r="O15" s="151">
        <f>'2 &amp; 7 TULOSSUUNNITELMA'!H20</f>
        <v>0</v>
      </c>
      <c r="P15" s="151">
        <f>'2 &amp; 7 TULOSSUUNNITELMA'!J20</f>
        <v>0</v>
      </c>
      <c r="Q15" s="151">
        <f>'2 &amp; 7 TULOSSUUNNITELMA'!L20</f>
        <v>0</v>
      </c>
      <c r="R15" s="151">
        <f>'2 &amp; 7 TULOSSUUNNITELMA'!N20</f>
        <v>0</v>
      </c>
      <c r="S15" s="177">
        <f>'2 &amp; 7 TULOSSUUNNITELMA'!P20</f>
        <v>0</v>
      </c>
    </row>
    <row r="16" spans="2:19" ht="16" customHeight="1" thickBot="1" x14ac:dyDescent="0.4">
      <c r="C16" s="178" t="s">
        <v>286</v>
      </c>
      <c r="D16" s="179" t="s">
        <v>287</v>
      </c>
      <c r="E16" s="180"/>
      <c r="F16" s="777">
        <f t="shared" ref="F16:G16" si="3">F10+F11+F12+F13+F14+F15</f>
        <v>0</v>
      </c>
      <c r="G16" s="777">
        <f t="shared" si="3"/>
        <v>0</v>
      </c>
      <c r="H16" s="213">
        <f>H10+H11+H12+H13+H14+H15</f>
        <v>0</v>
      </c>
      <c r="I16" s="213">
        <f t="shared" ref="I16:K16" si="4">I10+I11+I12+I13+I14+I15</f>
        <v>0</v>
      </c>
      <c r="J16" s="213">
        <f t="shared" si="4"/>
        <v>0</v>
      </c>
      <c r="K16" s="219">
        <f t="shared" si="4"/>
        <v>0</v>
      </c>
      <c r="M16" s="174" t="s">
        <v>349</v>
      </c>
      <c r="N16" s="332">
        <f>'2 &amp; 7 TULOSSUUNNITELMA'!G20/100</f>
        <v>0</v>
      </c>
      <c r="O16" s="332">
        <f>'2 &amp; 7 TULOSSUUNNITELMA'!I20/100</f>
        <v>0</v>
      </c>
      <c r="P16" s="332">
        <f>'2 &amp; 7 TULOSSUUNNITELMA'!K20/100</f>
        <v>0</v>
      </c>
      <c r="Q16" s="332">
        <f>'2 &amp; 7 TULOSSUUNNITELMA'!M20/100</f>
        <v>0</v>
      </c>
      <c r="R16" s="332">
        <f>'2 &amp; 7 TULOSSUUNNITELMA'!O20/100</f>
        <v>0</v>
      </c>
      <c r="S16" s="333">
        <f>'2 &amp; 7 TULOSSUUNNITELMA'!Q20/100</f>
        <v>0</v>
      </c>
    </row>
    <row r="17" spans="3:19" ht="16" customHeight="1" thickBot="1" x14ac:dyDescent="0.4">
      <c r="M17" s="174" t="s">
        <v>350</v>
      </c>
      <c r="N17" s="151">
        <f>'2 &amp; 7 TULOSSUUNNITELMA'!F22</f>
        <v>0</v>
      </c>
      <c r="O17" s="151">
        <f>'2 &amp; 7 TULOSSUUNNITELMA'!H22</f>
        <v>0</v>
      </c>
      <c r="P17" s="151">
        <f>'2 &amp; 7 TULOSSUUNNITELMA'!J22</f>
        <v>0</v>
      </c>
      <c r="Q17" s="151">
        <f>'2 &amp; 7 TULOSSUUNNITELMA'!L22</f>
        <v>0</v>
      </c>
      <c r="R17" s="151">
        <f>'2 &amp; 7 TULOSSUUNNITELMA'!N22</f>
        <v>0</v>
      </c>
      <c r="S17" s="177">
        <f>'2 &amp; 7 TULOSSUUNNITELMA'!P22</f>
        <v>0</v>
      </c>
    </row>
    <row r="18" spans="3:19" ht="16" customHeight="1" x14ac:dyDescent="0.35">
      <c r="C18" s="183"/>
      <c r="D18" s="184" t="s">
        <v>288</v>
      </c>
      <c r="E18" s="185"/>
      <c r="F18" s="186"/>
      <c r="G18" s="186"/>
      <c r="H18" s="186"/>
      <c r="I18" s="186"/>
      <c r="J18" s="186"/>
      <c r="K18" s="187"/>
      <c r="M18" s="174" t="s">
        <v>351</v>
      </c>
      <c r="N18" s="332">
        <f>'2 &amp; 7 TULOSSUUNNITELMA'!G22/100</f>
        <v>0</v>
      </c>
      <c r="O18" s="332">
        <f>'2 &amp; 7 TULOSSUUNNITELMA'!I22/100</f>
        <v>0</v>
      </c>
      <c r="P18" s="332">
        <f>'2 &amp; 7 TULOSSUUNNITELMA'!K22/100</f>
        <v>0</v>
      </c>
      <c r="Q18" s="332">
        <f>'2 &amp; 7 TULOSSUUNNITELMA'!M22/100</f>
        <v>0</v>
      </c>
      <c r="R18" s="332">
        <f>'2 &amp; 7 TULOSSUUNNITELMA'!O22/100</f>
        <v>0</v>
      </c>
      <c r="S18" s="333">
        <f>'2 &amp; 7 TULOSSUUNNITELMA'!Q22/100</f>
        <v>0</v>
      </c>
    </row>
    <row r="19" spans="3:19" ht="16" customHeight="1" x14ac:dyDescent="0.35">
      <c r="C19" s="176" t="s">
        <v>289</v>
      </c>
      <c r="D19" s="5" t="s">
        <v>293</v>
      </c>
      <c r="E19" s="325" t="s">
        <v>222</v>
      </c>
      <c r="F19" s="661"/>
      <c r="G19" s="661"/>
      <c r="H19" s="151">
        <f>'1 INVESTOINTISUUNNITELMA'!E17</f>
        <v>0</v>
      </c>
      <c r="I19" s="151">
        <f>'1 INVESTOINTISUUNNITELMA'!F17</f>
        <v>0</v>
      </c>
      <c r="J19" s="151">
        <f>'1 INVESTOINTISUUNNITELMA'!G17</f>
        <v>0</v>
      </c>
      <c r="K19" s="177">
        <f>'1 INVESTOINTISUUNNITELMA'!H17</f>
        <v>0</v>
      </c>
      <c r="M19" s="659" t="s">
        <v>352</v>
      </c>
      <c r="N19" s="351">
        <f>IF('2 &amp; 7 TULOSSUUNNITELMA'!F14=0,0,IF(N18&gt;10%,"Hyvä",IF(Q24&lt;5%,"Heikko","Tyydyttävä")))</f>
        <v>0</v>
      </c>
      <c r="O19" s="351">
        <f>IF(O18=0,0,IF(O18&gt;10%,"Hyvä",IF(O18&lt;5%,"Heikko","Tyydyttävä")))</f>
        <v>0</v>
      </c>
      <c r="P19" s="351">
        <f t="shared" ref="P19:S19" si="5">IF(P18=0,0,IF(P18&gt;10%,"Hyvä",IF(P18&lt;5%,"Heikko","Tyydyttävä")))</f>
        <v>0</v>
      </c>
      <c r="Q19" s="351">
        <f t="shared" si="5"/>
        <v>0</v>
      </c>
      <c r="R19" s="351">
        <f t="shared" si="5"/>
        <v>0</v>
      </c>
      <c r="S19" s="352">
        <f t="shared" si="5"/>
        <v>0</v>
      </c>
    </row>
    <row r="20" spans="3:19" ht="16" customHeight="1" x14ac:dyDescent="0.35">
      <c r="C20" s="176" t="s">
        <v>290</v>
      </c>
      <c r="D20" s="5" t="s">
        <v>294</v>
      </c>
      <c r="E20" s="325" t="s">
        <v>222</v>
      </c>
      <c r="F20" s="661"/>
      <c r="G20" s="661"/>
      <c r="H20" s="151">
        <f>'1 INVESTOINTISUUNNITELMA'!E20/(1+'1 INVESTOINTISUUNNITELMA'!E22)+'1 INVESTOINTISUUNNITELMA'!E24</f>
        <v>0</v>
      </c>
      <c r="I20" s="151">
        <f>'1 INVESTOINTISUUNNITELMA'!F20/(1+'1 INVESTOINTISUUNNITELMA'!F22)+'1 INVESTOINTISUUNNITELMA'!F24</f>
        <v>0</v>
      </c>
      <c r="J20" s="151">
        <f>'1 INVESTOINTISUUNNITELMA'!G20/(1+'1 INVESTOINTISUUNNITELMA'!G22)+'1 INVESTOINTISUUNNITELMA'!G24</f>
        <v>0</v>
      </c>
      <c r="K20" s="177">
        <f>'1 INVESTOINTISUUNNITELMA'!H20/(1+'1 INVESTOINTISUUNNITELMA'!H22)+'1 INVESTOINTISUUNNITELMA'!H24</f>
        <v>0</v>
      </c>
      <c r="M20" s="174" t="s">
        <v>353</v>
      </c>
      <c r="N20" s="151">
        <f>'2 &amp; 7 TULOSSUUNNITELMA'!F31</f>
        <v>0</v>
      </c>
      <c r="O20" s="151">
        <f>'2 &amp; 7 TULOSSUUNNITELMA'!H31</f>
        <v>0</v>
      </c>
      <c r="P20" s="151">
        <f>'2 &amp; 7 TULOSSUUNNITELMA'!J31</f>
        <v>0</v>
      </c>
      <c r="Q20" s="151">
        <f>'2 &amp; 7 TULOSSUUNNITELMA'!L31</f>
        <v>0</v>
      </c>
      <c r="R20" s="151">
        <f>'2 &amp; 7 TULOSSUUNNITELMA'!N31</f>
        <v>0</v>
      </c>
      <c r="S20" s="177">
        <f>'2 &amp; 7 TULOSSUUNNITELMA'!P31</f>
        <v>0</v>
      </c>
    </row>
    <row r="21" spans="3:19" ht="16" customHeight="1" x14ac:dyDescent="0.35">
      <c r="C21" s="176" t="s">
        <v>291</v>
      </c>
      <c r="D21" s="5" t="s">
        <v>295</v>
      </c>
      <c r="E21" s="325" t="s">
        <v>222</v>
      </c>
      <c r="F21" s="661"/>
      <c r="G21" s="661"/>
      <c r="H21" s="151">
        <f>(('1 INVESTOINTISUUNNITELMA'!E27-'1 INVESTOINTISUUNNITELMA'!E58)/(1+'1 INVESTOINTISUUNNITELMA'!E28))+('1 INVESTOINTISUUNNITELMA'!E30-'1 INVESTOINTISUUNNITELMA'!E59)</f>
        <v>0</v>
      </c>
      <c r="I21" s="151">
        <f>(('1 INVESTOINTISUUNNITELMA'!F27-'1 INVESTOINTISUUNNITELMA'!F58)/(1+'1 INVESTOINTISUUNNITELMA'!F28))+('1 INVESTOINTISUUNNITELMA'!F30-'1 INVESTOINTISUUNNITELMA'!F59)</f>
        <v>0</v>
      </c>
      <c r="J21" s="151">
        <f>(('1 INVESTOINTISUUNNITELMA'!G27-'1 INVESTOINTISUUNNITELMA'!G58)/(1+'1 INVESTOINTISUUNNITELMA'!G28))+('1 INVESTOINTISUUNNITELMA'!G30-'1 INVESTOINTISUUNNITELMA'!G59)</f>
        <v>0</v>
      </c>
      <c r="K21" s="177">
        <f>(('1 INVESTOINTISUUNNITELMA'!H27-'1 INVESTOINTISUUNNITELMA'!H58)/(1+'1 INVESTOINTISUUNNITELMA'!H28))+('1 INVESTOINTISUUNNITELMA'!H30-'1 INVESTOINTISUUNNITELMA'!H59)</f>
        <v>0</v>
      </c>
      <c r="M21" s="174" t="s">
        <v>354</v>
      </c>
      <c r="N21" s="332">
        <f>'2 &amp; 7 TULOSSUUNNITELMA'!G31/100</f>
        <v>0</v>
      </c>
      <c r="O21" s="332">
        <f>'2 &amp; 7 TULOSSUUNNITELMA'!I31/100</f>
        <v>0</v>
      </c>
      <c r="P21" s="332">
        <f>'2 &amp; 7 TULOSSUUNNITELMA'!K31/100</f>
        <v>0</v>
      </c>
      <c r="Q21" s="332">
        <f>'2 &amp; 7 TULOSSUUNNITELMA'!M31/100</f>
        <v>0</v>
      </c>
      <c r="R21" s="332">
        <f>'2 &amp; 7 TULOSSUUNNITELMA'!O31/100</f>
        <v>0</v>
      </c>
      <c r="S21" s="333">
        <f>'2 &amp; 7 TULOSSUUNNITELMA'!Q31/100</f>
        <v>0</v>
      </c>
    </row>
    <row r="22" spans="3:19" ht="16" customHeight="1" x14ac:dyDescent="0.35">
      <c r="C22" s="176" t="s">
        <v>292</v>
      </c>
      <c r="D22" s="5" t="s">
        <v>296</v>
      </c>
      <c r="E22" s="325" t="s">
        <v>222</v>
      </c>
      <c r="F22" s="661"/>
      <c r="G22" s="661"/>
      <c r="H22" s="151">
        <f>'1 INVESTOINTISUUNNITELMA'!E32/(1+'1 INVESTOINTISUUNNITELMA'!E33)+'1 INVESTOINTISUUNNITELMA'!E35/(1+'1 INVESTOINTISUUNNITELMA'!E36)</f>
        <v>0</v>
      </c>
      <c r="I22" s="151">
        <f>'1 INVESTOINTISUUNNITELMA'!F32/(1+'1 INVESTOINTISUUNNITELMA'!F33)+'1 INVESTOINTISUUNNITELMA'!F35/(1+'1 INVESTOINTISUUNNITELMA'!F36)</f>
        <v>0</v>
      </c>
      <c r="J22" s="151">
        <f>'1 INVESTOINTISUUNNITELMA'!G32/(1+'1 INVESTOINTISUUNNITELMA'!G33)+'1 INVESTOINTISUUNNITELMA'!G35/(1+'1 INVESTOINTISUUNNITELMA'!G36)</f>
        <v>0</v>
      </c>
      <c r="K22" s="177">
        <f>'1 INVESTOINTISUUNNITELMA'!H32/(1+'1 INVESTOINTISUUNNITELMA'!H33)+'1 INVESTOINTISUUNNITELMA'!H35/(1+'1 INVESTOINTISUUNNITELMA'!H36)</f>
        <v>0</v>
      </c>
      <c r="M22" s="174" t="s">
        <v>355</v>
      </c>
      <c r="N22" s="332">
        <f>IF(N13=0,0,(N20-'2 &amp; 7 TULOSSUUNNITELMA'!F27-'2 &amp; 7 TULOSSUUNNITELMA'!F25)/'8 RAHOITUSSUUNNITELMA'!N13)</f>
        <v>0</v>
      </c>
      <c r="O22" s="332">
        <f>IF(O13=0,0,(O20-'2 &amp; 7 TULOSSUUNNITELMA'!H27-'2 &amp; 7 TULOSSUUNNITELMA'!H25)/'8 RAHOITUSSUUNNITELMA'!O13)</f>
        <v>0</v>
      </c>
      <c r="P22" s="332">
        <f>IF(P13=0,0,(P20-'2 &amp; 7 TULOSSUUNNITELMA'!J27-'2 &amp; 7 TULOSSUUNNITELMA'!J25)/'8 RAHOITUSSUUNNITELMA'!P13)</f>
        <v>0</v>
      </c>
      <c r="Q22" s="332">
        <f>IF(Q13=0,0,(Q20-'2 &amp; 7 TULOSSUUNNITELMA'!L27-'2 &amp; 7 TULOSSUUNNITELMA'!L25)/'8 RAHOITUSSUUNNITELMA'!Q13)</f>
        <v>0</v>
      </c>
      <c r="R22" s="332">
        <f>IF(R13=0,0,(R20-'2 &amp; 7 TULOSSUUNNITELMA'!N27-'2 &amp; 7 TULOSSUUNNITELMA'!N25)/'8 RAHOITUSSUUNNITELMA'!R13)</f>
        <v>0</v>
      </c>
      <c r="S22" s="333">
        <f>IF(S13=0,0,(S20-'2 &amp; 7 TULOSSUUNNITELMA'!P27-'2 &amp; 7 TULOSSUUNNITELMA'!P25)/'8 RAHOITUSSUUNNITELMA'!S13)</f>
        <v>0</v>
      </c>
    </row>
    <row r="23" spans="3:19" ht="16" customHeight="1" x14ac:dyDescent="0.35">
      <c r="C23" s="176" t="s">
        <v>297</v>
      </c>
      <c r="D23" s="5" t="s">
        <v>624</v>
      </c>
      <c r="E23" s="325" t="s">
        <v>224</v>
      </c>
      <c r="F23" s="661"/>
      <c r="G23" s="661"/>
      <c r="H23" s="151">
        <f>H56</f>
        <v>0</v>
      </c>
      <c r="I23" s="151">
        <f t="shared" ref="I23:K23" si="6">I56</f>
        <v>0</v>
      </c>
      <c r="J23" s="151">
        <f t="shared" si="6"/>
        <v>0</v>
      </c>
      <c r="K23" s="177">
        <f t="shared" si="6"/>
        <v>0</v>
      </c>
      <c r="M23" s="174" t="s">
        <v>356</v>
      </c>
      <c r="N23" s="332">
        <f>IF('2 &amp; 7 TULOSSUUNNITELMA'!F14=0,0,(('2 &amp; 7 TULOSSUUNNITELMA'!F22+'2 &amp; 7 TULOSSUUNNITELMA'!F24+'2 &amp; 7 TULOSSUUNNITELMA'!F25-'2 &amp; 7 TULOSSUUNNITELMA'!F27-'2 &amp; 7 TULOSSUUNNITELMA'!F21)/'2 &amp; 7 TULOSSUUNNITELMA'!F14))</f>
        <v>0</v>
      </c>
      <c r="O23" s="332">
        <f>IF('2 &amp; 7 TULOSSUUNNITELMA'!H14=0,0,(('2 &amp; 7 TULOSSUUNNITELMA'!H22+'2 &amp; 7 TULOSSUUNNITELMA'!H24+'2 &amp; 7 TULOSSUUNNITELMA'!H25-'2 &amp; 7 TULOSSUUNNITELMA'!H27-'2 &amp; 7 TULOSSUUNNITELMA'!H21)/'2 &amp; 7 TULOSSUUNNITELMA'!H14))</f>
        <v>0</v>
      </c>
      <c r="P23" s="332">
        <f>IF('2 &amp; 7 TULOSSUUNNITELMA'!J14=0,0,(('2 &amp; 7 TULOSSUUNNITELMA'!J22+'2 &amp; 7 TULOSSUUNNITELMA'!J24+'2 &amp; 7 TULOSSUUNNITELMA'!J25-'2 &amp; 7 TULOSSUUNNITELMA'!J27-'2 &amp; 7 TULOSSUUNNITELMA'!J21)/'2 &amp; 7 TULOSSUUNNITELMA'!J14))</f>
        <v>0</v>
      </c>
      <c r="Q23" s="332">
        <f>IF('2 &amp; 7 TULOSSUUNNITELMA'!L14=0,0,(('2 &amp; 7 TULOSSUUNNITELMA'!L22+'2 &amp; 7 TULOSSUUNNITELMA'!L24+'2 &amp; 7 TULOSSUUNNITELMA'!L25-'2 &amp; 7 TULOSSUUNNITELMA'!L27-'2 &amp; 7 TULOSSUUNNITELMA'!L21)/'2 &amp; 7 TULOSSUUNNITELMA'!L14))</f>
        <v>0</v>
      </c>
      <c r="R23" s="332">
        <f>IF('2 &amp; 7 TULOSSUUNNITELMA'!N14=0,0,(('2 &amp; 7 TULOSSUUNNITELMA'!N22+'2 &amp; 7 TULOSSUUNNITELMA'!N24+'2 &amp; 7 TULOSSUUNNITELMA'!N25-'2 &amp; 7 TULOSSUUNNITELMA'!N27-'2 &amp; 7 TULOSSUUNNITELMA'!N21)/'2 &amp; 7 TULOSSUUNNITELMA'!N14))</f>
        <v>0</v>
      </c>
      <c r="S23" s="333">
        <f>IF('2 &amp; 7 TULOSSUUNNITELMA'!P14=0,0,(('2 &amp; 7 TULOSSUUNNITELMA'!P22+'2 &amp; 7 TULOSSUUNNITELMA'!P24+'2 &amp; 7 TULOSSUUNNITELMA'!P25-'2 &amp; 7 TULOSSUUNNITELMA'!P27-'2 &amp; 7 TULOSSUUNNITELMA'!P21)/'2 &amp; 7 TULOSSUUNNITELMA'!P14))</f>
        <v>0</v>
      </c>
    </row>
    <row r="24" spans="3:19" ht="16" customHeight="1" x14ac:dyDescent="0.35">
      <c r="C24" s="176" t="s">
        <v>299</v>
      </c>
      <c r="D24" s="5" t="s">
        <v>314</v>
      </c>
      <c r="E24" s="325" t="s">
        <v>222</v>
      </c>
      <c r="F24" s="661"/>
      <c r="G24" s="661"/>
      <c r="H24" s="151">
        <f>'3 TASE'!I45-'3 TASE'!H45</f>
        <v>0</v>
      </c>
      <c r="I24" s="151">
        <f>'3 TASE'!J45-'3 TASE'!I45</f>
        <v>0</v>
      </c>
      <c r="J24" s="151">
        <f>'3 TASE'!K45-'3 TASE'!J45</f>
        <v>0</v>
      </c>
      <c r="K24" s="177">
        <f>'3 TASE'!L45-'3 TASE'!K45</f>
        <v>0</v>
      </c>
      <c r="M24" s="659" t="s">
        <v>352</v>
      </c>
      <c r="N24" s="351">
        <f>IF(N23=0,0,IF(N23&lt;0,"Heikko","Riittävä"))</f>
        <v>0</v>
      </c>
      <c r="O24" s="351">
        <f t="shared" ref="O24:S24" si="7">IF(O23=0,0,IF(O23&lt;0,"Heikko","Riittävä"))</f>
        <v>0</v>
      </c>
      <c r="P24" s="351">
        <f>IF(P23=0,0,IF(P23&lt;0,"Heikko","Riittävä"))</f>
        <v>0</v>
      </c>
      <c r="Q24" s="351">
        <f>IF(Q23=0,0,IF(Q23&lt;0,"Heikko","Riittävä"))</f>
        <v>0</v>
      </c>
      <c r="R24" s="351">
        <f t="shared" si="7"/>
        <v>0</v>
      </c>
      <c r="S24" s="352">
        <f t="shared" si="7"/>
        <v>0</v>
      </c>
    </row>
    <row r="25" spans="3:19" ht="16" customHeight="1" x14ac:dyDescent="0.35">
      <c r="C25" s="176" t="s">
        <v>300</v>
      </c>
      <c r="D25" s="5" t="s">
        <v>315</v>
      </c>
      <c r="E25" s="325" t="s">
        <v>222</v>
      </c>
      <c r="F25" s="661"/>
      <c r="G25" s="661"/>
      <c r="H25" s="151">
        <f>'4 LAINAT'!G19+'4 LAINAT'!H40</f>
        <v>0</v>
      </c>
      <c r="I25" s="151">
        <f>'4 LAINAT'!J19+'4 LAINAT'!K40</f>
        <v>0</v>
      </c>
      <c r="J25" s="151">
        <f>'4 LAINAT'!M19+'4 LAINAT'!N40</f>
        <v>0</v>
      </c>
      <c r="K25" s="177">
        <f>'4 LAINAT'!P19+'4 LAINAT'!Q40</f>
        <v>0</v>
      </c>
      <c r="M25" s="195" t="s">
        <v>357</v>
      </c>
      <c r="S25" s="193"/>
    </row>
    <row r="26" spans="3:19" ht="16" customHeight="1" x14ac:dyDescent="0.35">
      <c r="C26" s="176" t="s">
        <v>301</v>
      </c>
      <c r="D26" s="5" t="s">
        <v>316</v>
      </c>
      <c r="E26" s="325" t="s">
        <v>222</v>
      </c>
      <c r="F26" s="661"/>
      <c r="G26" s="661"/>
      <c r="H26" s="151">
        <f>-IF('3 TASE'!I58-'3 TASE'!H58&lt;0,'3 TASE'!I58-'3 TASE'!H58,0)</f>
        <v>0</v>
      </c>
      <c r="I26" s="151">
        <f>-IF('3 TASE'!J58-'3 TASE'!I58&lt;0,'3 TASE'!J58-'3 TASE'!I58,0)</f>
        <v>0</v>
      </c>
      <c r="J26" s="151">
        <f>-IF('3 TASE'!K58-'3 TASE'!J58&lt;0,'3 TASE'!K58-'3 TASE'!J58,0)</f>
        <v>0</v>
      </c>
      <c r="K26" s="177">
        <f>-IF('3 TASE'!L58-'3 TASE'!K58&lt;0,'3 TASE'!L58-'3 TASE'!K58,0)</f>
        <v>0</v>
      </c>
      <c r="M26" s="174" t="s">
        <v>358</v>
      </c>
      <c r="N26" s="269">
        <f>IF('3 TASE'!G72=0,0,('3 TASE'!G45+'3 TASE'!G46)/'3 TASE'!G72)</f>
        <v>0</v>
      </c>
      <c r="O26" s="269">
        <f>IF('3 TASE'!H72=0,0,('3 TASE'!H45+'3 TASE'!H46)/'3 TASE'!H72)</f>
        <v>0</v>
      </c>
      <c r="P26" s="269">
        <f>IF('3 TASE'!I72=0,0,('3 TASE'!I45+'3 TASE'!I46)/'3 TASE'!I72)</f>
        <v>0</v>
      </c>
      <c r="Q26" s="269">
        <f>IF('3 TASE'!J72=0,0,('3 TASE'!J45+'3 TASE'!J46)/'3 TASE'!J72)</f>
        <v>0</v>
      </c>
      <c r="R26" s="269">
        <f>IF('3 TASE'!K72=0,0,('3 TASE'!K45+'3 TASE'!K46)/'3 TASE'!K72)</f>
        <v>0</v>
      </c>
      <c r="S26" s="270">
        <f>IF('3 TASE'!L72=0,0,('3 TASE'!L45+'3 TASE'!L46)/'3 TASE'!L72)</f>
        <v>0</v>
      </c>
    </row>
    <row r="27" spans="3:19" ht="16" customHeight="1" x14ac:dyDescent="0.35">
      <c r="C27" s="176" t="s">
        <v>302</v>
      </c>
      <c r="D27" s="5" t="s">
        <v>317</v>
      </c>
      <c r="E27" s="325" t="s">
        <v>222</v>
      </c>
      <c r="F27" s="661"/>
      <c r="G27" s="661"/>
      <c r="H27" s="151">
        <f>-IF('3 TASE'!I66-'3 TASE'!H66&lt;0,'3 TASE'!I66-'3 TASE'!H66+'3 TASE'!I67,0)</f>
        <v>0</v>
      </c>
      <c r="I27" s="151">
        <f>-IF('3 TASE'!J66-'3 TASE'!I66&lt;0,'3 TASE'!J66-'3 TASE'!I66+'3 TASE'!J67,0)</f>
        <v>0</v>
      </c>
      <c r="J27" s="151">
        <f>-IF('3 TASE'!K66-'3 TASE'!J66&lt;0,'3 TASE'!K66-'3 TASE'!J66+'3 TASE'!K67,0)</f>
        <v>0</v>
      </c>
      <c r="K27" s="177">
        <f>-IF('3 TASE'!L66-'3 TASE'!K66&lt;0,'3 TASE'!L66-'3 TASE'!K66+'3 TASE'!L67,0)</f>
        <v>0</v>
      </c>
      <c r="M27" s="659" t="s">
        <v>352</v>
      </c>
      <c r="N27" s="351">
        <f>IF('3 TASE'!G72=0,0,IF(N26&gt;1,"Hyvä",IF(N26&lt;0.5,"Heikko","Tyydyttävä")))</f>
        <v>0</v>
      </c>
      <c r="O27" s="351">
        <f>IF('3 TASE'!H72=0,0,IF(O26&gt;1,"Hyvä",IF(O26&lt;0.5,"Heikko","Tyydyttävä")))</f>
        <v>0</v>
      </c>
      <c r="P27" s="351">
        <f>IF('3 TASE'!I72=0,0,IF(P26&gt;1,"Hyvä",IF(P26&lt;0.5,"Heikko","Tyydyttävä")))</f>
        <v>0</v>
      </c>
      <c r="Q27" s="351">
        <f>IF('3 TASE'!J72=0,0,IF(Q26&gt;1,"Hyvä",IF(Q26&lt;0.5,"Heikko","Tyydyttävä")))</f>
        <v>0</v>
      </c>
      <c r="R27" s="351">
        <f>IF('3 TASE'!K72=0,0,IF(R26&gt;1,"Hyvä",IF(R26&lt;0.5,"Heikko","Tyydyttävä")))</f>
        <v>0</v>
      </c>
      <c r="S27" s="352">
        <f>IF('3 TASE'!L72=0,0,IF(S26&gt;1,"Hyvä",IF(S26&lt;0.5,"Heikko","Tyydyttävä")))</f>
        <v>0</v>
      </c>
    </row>
    <row r="28" spans="3:19" ht="16" customHeight="1" x14ac:dyDescent="0.35">
      <c r="C28" s="176" t="s">
        <v>303</v>
      </c>
      <c r="D28" s="5" t="s">
        <v>318</v>
      </c>
      <c r="E28" s="325" t="s">
        <v>222</v>
      </c>
      <c r="F28" s="661"/>
      <c r="G28" s="661"/>
      <c r="H28" s="151">
        <f>-IF('3 TASE'!I69-'3 TASE'!H69&lt;0,'3 TASE'!I69-'3 TASE'!H69,0)</f>
        <v>0</v>
      </c>
      <c r="I28" s="151">
        <f>-IF('3 TASE'!J69-'3 TASE'!I69&lt;0,'3 TASE'!J69-'3 TASE'!I69,0)</f>
        <v>0</v>
      </c>
      <c r="J28" s="151">
        <f>-IF('3 TASE'!K69-'3 TASE'!J69&lt;0,'3 TASE'!K69-'3 TASE'!J69,0)</f>
        <v>0</v>
      </c>
      <c r="K28" s="177">
        <f>-IF('3 TASE'!L69-'3 TASE'!K69&lt;0,'3 TASE'!L69-'3 TASE'!K69,0)</f>
        <v>0</v>
      </c>
      <c r="M28" s="174" t="s">
        <v>359</v>
      </c>
      <c r="N28" s="269">
        <f>IF('3 TASE'!G72=0,0,('3 TASE'!G36+'3 TASE'!G45+'3 TASE'!G46)/'3 TASE'!G72)</f>
        <v>0</v>
      </c>
      <c r="O28" s="269">
        <f>IF('3 TASE'!H72=0,0,('3 TASE'!H36+'3 TASE'!H45+'3 TASE'!H46)/'3 TASE'!H72)</f>
        <v>0</v>
      </c>
      <c r="P28" s="269">
        <f>IF('3 TASE'!I72=0,0,('3 TASE'!I36+'3 TASE'!I45+'3 TASE'!I46)/'3 TASE'!I72)</f>
        <v>0</v>
      </c>
      <c r="Q28" s="269">
        <f>IF('3 TASE'!J72=0,0,('3 TASE'!J36+'3 TASE'!J45+'3 TASE'!J46)/'3 TASE'!J72)</f>
        <v>0</v>
      </c>
      <c r="R28" s="269">
        <f>IF('3 TASE'!K72=0,0,('3 TASE'!K36+'3 TASE'!K45+'3 TASE'!K46)/'3 TASE'!K72)</f>
        <v>0</v>
      </c>
      <c r="S28" s="270">
        <f>IF('3 TASE'!L72=0,0,('3 TASE'!L36+'3 TASE'!L45+'3 TASE'!L46)/'3 TASE'!L72)</f>
        <v>0</v>
      </c>
    </row>
    <row r="29" spans="3:19" ht="16" customHeight="1" x14ac:dyDescent="0.35">
      <c r="C29" s="176" t="s">
        <v>304</v>
      </c>
      <c r="D29" s="5" t="s">
        <v>319</v>
      </c>
      <c r="E29" s="325" t="s">
        <v>222</v>
      </c>
      <c r="F29" s="661"/>
      <c r="G29" s="661"/>
      <c r="H29" s="151">
        <f>-IF('3 TASE'!I71-'3 TASE'!H71&lt;0,'3 TASE'!I71-'3 TASE'!H71,0)</f>
        <v>0</v>
      </c>
      <c r="I29" s="151">
        <f>-IF('3 TASE'!J71-'3 TASE'!I71&lt;0,'3 TASE'!J71-'3 TASE'!I71,0)</f>
        <v>0</v>
      </c>
      <c r="J29" s="151">
        <f>-IF('3 TASE'!K71-'3 TASE'!J71&lt;0,'3 TASE'!K71-'3 TASE'!J71,0)</f>
        <v>0</v>
      </c>
      <c r="K29" s="177">
        <f>-IF('3 TASE'!L71-'3 TASE'!K71&lt;0,'3 TASE'!L71-'3 TASE'!K71,0)</f>
        <v>0</v>
      </c>
      <c r="M29" s="659" t="s">
        <v>352</v>
      </c>
      <c r="N29" s="351">
        <f>IF('3 TASE'!G72=0,0,IF(N28&gt;2,"Hyvä",IF(N28&lt;1,"Heikko","Tyydyttävä")))</f>
        <v>0</v>
      </c>
      <c r="O29" s="351">
        <f>IF('3 TASE'!H72=0,0,IF(O28&gt;2,"Hyvä",IF(O28&lt;1,"Heikko","Tyydyttävä")))</f>
        <v>0</v>
      </c>
      <c r="P29" s="351">
        <f>IF('3 TASE'!I72=0,0,IF(P28&gt;2,"Hyvä",IF(P28&lt;1,"Heikko","Tyydyttävä")))</f>
        <v>0</v>
      </c>
      <c r="Q29" s="351">
        <f>IF('3 TASE'!J72=0,0,IF(Q28&gt;2,"Hyvä",IF(Q28&lt;1,"Heikko","Tyydyttävä")))</f>
        <v>0</v>
      </c>
      <c r="R29" s="351">
        <f>IF('3 TASE'!K72=0,0,IF(R28&gt;2,"Hyvä",IF(R28&lt;1,"Heikko","Tyydyttävä")))</f>
        <v>0</v>
      </c>
      <c r="S29" s="352">
        <f>IF('3 TASE'!L72=0,0,IF(S28&gt;2,"Hyvä",IF(S28&lt;1,"Heikko","Tyydyttävä")))</f>
        <v>0</v>
      </c>
    </row>
    <row r="30" spans="3:19" ht="16" customHeight="1" x14ac:dyDescent="0.35">
      <c r="C30" s="176" t="s">
        <v>305</v>
      </c>
      <c r="D30" s="5" t="s">
        <v>320</v>
      </c>
      <c r="E30" s="325" t="s">
        <v>224</v>
      </c>
      <c r="F30" s="661"/>
      <c r="G30" s="661"/>
      <c r="H30" s="864"/>
      <c r="I30" s="864"/>
      <c r="J30" s="864"/>
      <c r="K30" s="899"/>
      <c r="M30" s="174" t="s">
        <v>360</v>
      </c>
      <c r="N30" s="677"/>
      <c r="O30" s="334">
        <f>IF(G10=0,0,('3 TASE'!H64/'8 RAHOITUSSUUNNITELMA'!G10))</f>
        <v>0</v>
      </c>
      <c r="P30" s="334">
        <f>IF(H10=0,0,('AT4 Lainat'!O18+'AT4 Lainat'!O37)/H10)</f>
        <v>0</v>
      </c>
      <c r="Q30" s="334">
        <f>IF(I10=0,0,('AT4 Lainat'!U18+'AT4 Lainat'!U37)/I10)</f>
        <v>0</v>
      </c>
      <c r="R30" s="334">
        <f>IF(J10=0,0,('AT4 Lainat'!AA18+'AT4 Lainat'!AA37)/J10)</f>
        <v>0</v>
      </c>
      <c r="S30" s="335">
        <f>IF(K10=0,0,('AT4 Lainat'!AG18+'AT4 Lainat'!AG37)/K10)</f>
        <v>0</v>
      </c>
    </row>
    <row r="31" spans="3:19" ht="16" customHeight="1" x14ac:dyDescent="0.35">
      <c r="C31" s="176" t="s">
        <v>306</v>
      </c>
      <c r="D31" s="5" t="s">
        <v>321</v>
      </c>
      <c r="E31" s="325" t="s">
        <v>222</v>
      </c>
      <c r="F31" s="661"/>
      <c r="G31" s="661"/>
      <c r="H31" s="151">
        <f>'4 LAINAT'!G20+'4 LAINAT'!H46</f>
        <v>0</v>
      </c>
      <c r="I31" s="151">
        <f>'4 LAINAT'!J20+'4 LAINAT'!K46</f>
        <v>0</v>
      </c>
      <c r="J31" s="151">
        <f>'4 LAINAT'!M20+'4 LAINAT'!N46</f>
        <v>0</v>
      </c>
      <c r="K31" s="177">
        <f>'4 LAINAT'!P20+'4 LAINAT'!Q46</f>
        <v>0</v>
      </c>
      <c r="M31" s="174" t="s">
        <v>361</v>
      </c>
      <c r="N31" s="677"/>
      <c r="O31" s="334">
        <f>IF('2 &amp; 7 TULOSSUUNNITELMA'!H25+'3 TASE'!H74=0,0,('8 RAHOITUSSUUNNITELMA'!G10-'2 &amp; 7 TULOSSUUNNITELMA'!H25)/(-'2 &amp; 7 TULOSSUUNNITELMA'!H25+'3 TASE'!H74))</f>
        <v>0</v>
      </c>
      <c r="P31" s="334">
        <f>IF(-'2 &amp; 7 TULOSSUUNNITELMA'!J25+'4 LAINAT'!G19+'4 LAINAT'!H40=0,0,('8 RAHOITUSSUUNNITELMA'!H10-'2 &amp; 7 TULOSSUUNNITELMA'!J25)/(-'2 &amp; 7 TULOSSUUNNITELMA'!J25+'4 LAINAT'!G19+'4 LAINAT'!H40))</f>
        <v>0</v>
      </c>
      <c r="Q31" s="334">
        <f>IF(-'2 &amp; 7 TULOSSUUNNITELMA'!L25+'4 LAINAT'!J19+'4 LAINAT'!K40=0,0,('8 RAHOITUSSUUNNITELMA'!I10-'2 &amp; 7 TULOSSUUNNITELMA'!L25)/(-'2 &amp; 7 TULOSSUUNNITELMA'!L25+'4 LAINAT'!J19+'4 LAINAT'!K40))</f>
        <v>0</v>
      </c>
      <c r="R31" s="334">
        <f>IF(-'2 &amp; 7 TULOSSUUNNITELMA'!N25+'4 LAINAT'!M19+'4 LAINAT'!N40=0,0,('8 RAHOITUSSUUNNITELMA'!J10-'2 &amp; 7 TULOSSUUNNITELMA'!N25)/(-'2 &amp; 7 TULOSSUUNNITELMA'!N25+'4 LAINAT'!M19+'4 LAINAT'!N40))</f>
        <v>0</v>
      </c>
      <c r="S31" s="335">
        <f>IF(-'2 &amp; 7 TULOSSUUNNITELMA'!P25+'4 LAINAT'!P19+'4 LAINAT'!Q40=0,0,(-'2 &amp; 7 TULOSSUUNNITELMA'!P25+'8 RAHOITUSSUUNNITELMA'!K10)/(-'2 &amp; 7 TULOSSUUNNITELMA'!P25+'4 LAINAT'!P19+'4 LAINAT'!Q40))</f>
        <v>0</v>
      </c>
    </row>
    <row r="32" spans="3:19" ht="16" customHeight="1" x14ac:dyDescent="0.35">
      <c r="C32" s="176" t="s">
        <v>307</v>
      </c>
      <c r="D32" s="5" t="s">
        <v>874</v>
      </c>
      <c r="E32" s="325" t="s">
        <v>224</v>
      </c>
      <c r="F32" s="661"/>
      <c r="G32" s="661"/>
      <c r="H32" s="151">
        <f>'3 TASE'!I81+'3 TASE'!I88-'3 TASE'!H81-'3 TASE'!H88</f>
        <v>0</v>
      </c>
      <c r="I32" s="151">
        <f>'3 TASE'!J81+'3 TASE'!J88-'3 TASE'!I81-'3 TASE'!I88</f>
        <v>0</v>
      </c>
      <c r="J32" s="151">
        <f>'3 TASE'!K81+'3 TASE'!K88-'3 TASE'!J81-'3 TASE'!J88</f>
        <v>0</v>
      </c>
      <c r="K32" s="177">
        <f>'3 TASE'!L81+'3 TASE'!L88-'3 TASE'!K81-'3 TASE'!K88</f>
        <v>0</v>
      </c>
      <c r="M32" s="659" t="s">
        <v>352</v>
      </c>
      <c r="N32" s="678"/>
      <c r="O32" s="351">
        <f>IF('2 &amp; 7 TULOSSUUNNITELMA'!H25+'3 TASE'!H74=0,0,IF(O31&gt;2,"Hyvä",IF(O31&lt;1,"Heikko","Tyydyttävä")))</f>
        <v>0</v>
      </c>
      <c r="P32" s="351">
        <f>IF('2 &amp; 7 TULOSSUUNNITELMA'!J25+'4 LAINAT'!G19+'4 LAINAT'!H40=0,0,IF(P31&gt;2,"Hyvä",IF(P31&lt;1,"Heikko","Tyydyttävä")))</f>
        <v>0</v>
      </c>
      <c r="Q32" s="351">
        <f>IF('2 &amp; 7 TULOSSUUNNITELMA'!L25+'4 LAINAT'!J19+'4 LAINAT'!K40=0,0,IF(Q31&gt;2,"Hyvä",IF(Q31&lt;1,"Heikko","Tyydyttävä")))</f>
        <v>0</v>
      </c>
      <c r="R32" s="351">
        <f>IF('2 &amp; 7 TULOSSUUNNITELMA'!N25+'4 LAINAT'!M19+'4 LAINAT'!N40=0,0,IF(R31&gt;2,"Hyvä",IF(R31&lt;1,"Heikko","Tyydyttävä")))</f>
        <v>0</v>
      </c>
      <c r="S32" s="352">
        <f>IF('2 &amp; 7 TULOSSUUNNITELMA'!P25+'4 LAINAT'!P19+'4 LAINAT'!Q40=0,0,IF(S31&gt;2,"Hyvä",IF(S31&lt;1,"Heikko","Tyydyttävä")))</f>
        <v>0</v>
      </c>
    </row>
    <row r="33" spans="3:19" ht="16" customHeight="1" x14ac:dyDescent="0.35">
      <c r="C33" s="176" t="s">
        <v>308</v>
      </c>
      <c r="D33" s="5" t="s">
        <v>322</v>
      </c>
      <c r="E33" s="325" t="s">
        <v>222</v>
      </c>
      <c r="F33" s="661"/>
      <c r="G33" s="661"/>
      <c r="H33" s="151">
        <f>-IF('3 TASE'!I75-'3 TASE'!H75&lt;0,'3 TASE'!I75-'3 TASE'!H75,0)-IF('3 TASE'!I76-'3 TASE'!H76&lt;0,'3 TASE'!I76-'3 TASE'!H76,0)</f>
        <v>0</v>
      </c>
      <c r="I33" s="151">
        <f>-IF('3 TASE'!J75-'3 TASE'!I75&lt;0,'3 TASE'!J75-'3 TASE'!I75,0)-IF('3 TASE'!J76-'3 TASE'!I76&lt;0,'3 TASE'!J76-'3 TASE'!I76,0)</f>
        <v>0</v>
      </c>
      <c r="J33" s="151">
        <f>-IF('3 TASE'!K75-'3 TASE'!J75&lt;0,'3 TASE'!K75-'3 TASE'!J75,0)-IF('3 TASE'!K76-'3 TASE'!J76&lt;0,'3 TASE'!K76-'3 TASE'!J76,0)</f>
        <v>0</v>
      </c>
      <c r="K33" s="177">
        <f>-IF('3 TASE'!L75-'3 TASE'!K75&lt;0,'3 TASE'!L75-'3 TASE'!K75,0)-IF('3 TASE'!L76-'3 TASE'!K76&lt;0,'3 TASE'!L76-'3 TASE'!K76,0)</f>
        <v>0</v>
      </c>
      <c r="M33" s="195" t="s">
        <v>362</v>
      </c>
      <c r="S33" s="193"/>
    </row>
    <row r="34" spans="3:19" ht="16" customHeight="1" x14ac:dyDescent="0.35">
      <c r="C34" s="176" t="s">
        <v>309</v>
      </c>
      <c r="D34" s="5" t="s">
        <v>876</v>
      </c>
      <c r="E34" s="325" t="s">
        <v>222</v>
      </c>
      <c r="F34" s="661"/>
      <c r="G34" s="661"/>
      <c r="H34" s="864">
        <f>P49</f>
        <v>0</v>
      </c>
      <c r="I34" s="864">
        <f>Q49</f>
        <v>0</v>
      </c>
      <c r="J34" s="864">
        <f>R49</f>
        <v>0</v>
      </c>
      <c r="K34" s="899">
        <f>S49</f>
        <v>0</v>
      </c>
      <c r="M34" s="174" t="s">
        <v>363</v>
      </c>
      <c r="N34" s="346">
        <f>IF('3 TASE'!G95=0,0,IF('3 TASE'!G95&lt;0,0,'3 TASE'!G53/('3 TASE'!G95-'3 TASE'!G93)))</f>
        <v>0</v>
      </c>
      <c r="O34" s="346">
        <f>IF('3 TASE'!H95=0,0,IF('3 TASE'!H95&lt;0,0,'3 TASE'!H53/('3 TASE'!H95-'3 TASE'!H93)))</f>
        <v>0</v>
      </c>
      <c r="P34" s="346">
        <f>IF('3 TASE'!I95=0,0,IF('3 TASE'!I95&lt;0,0,'3 TASE'!I53/('3 TASE'!I95-'3 TASE'!I93)))</f>
        <v>0</v>
      </c>
      <c r="Q34" s="346">
        <f>IF('3 TASE'!J95=0,0,IF('3 TASE'!J95&lt;0,0,'3 TASE'!J53/('3 TASE'!J95-'3 TASE'!J93)))</f>
        <v>0</v>
      </c>
      <c r="R34" s="346">
        <f>IF('3 TASE'!K95=0,0,IF('3 TASE'!K95&lt;0,0,'3 TASE'!K53/('3 TASE'!K95-'3 TASE'!K93)))</f>
        <v>0</v>
      </c>
      <c r="S34" s="348">
        <f>IF('3 TASE'!L95=0,0,IF('3 TASE'!L95&lt;0,0,'3 TASE'!L53/('3 TASE'!L95-'3 TASE'!L93)))</f>
        <v>0</v>
      </c>
    </row>
    <row r="35" spans="3:19" ht="16" customHeight="1" x14ac:dyDescent="0.35">
      <c r="C35" s="176" t="s">
        <v>310</v>
      </c>
      <c r="D35" s="5" t="s">
        <v>323</v>
      </c>
      <c r="E35" s="325" t="s">
        <v>222</v>
      </c>
      <c r="F35" s="661"/>
      <c r="G35" s="661"/>
      <c r="H35" s="151">
        <f>'3 TASE'!I32</f>
        <v>0</v>
      </c>
      <c r="I35" s="151">
        <f>'3 TASE'!J32</f>
        <v>0</v>
      </c>
      <c r="J35" s="151">
        <f>'3 TASE'!K32</f>
        <v>0</v>
      </c>
      <c r="K35" s="177">
        <f>'3 TASE'!L32</f>
        <v>0</v>
      </c>
      <c r="M35" s="659" t="s">
        <v>352</v>
      </c>
      <c r="N35" s="351">
        <f>IF('3 TASE'!G95=0,0,IF(N34&gt;40%,"Hyvä",IF(N34&lt;20%,"Heikko","Tyydyttävä")))</f>
        <v>0</v>
      </c>
      <c r="O35" s="351">
        <f>IF('3 TASE'!H95=0,0,IF(O34&gt;40%,"Hyvä",IF(O34&lt;20%,"Heikko","Tyydyttävä")))</f>
        <v>0</v>
      </c>
      <c r="P35" s="351">
        <f>IF('3 TASE'!I95=0,0,IF(P34&gt;40%,"Hyvä",IF(P34&lt;20%,"Heikko","Tyydyttävä")))</f>
        <v>0</v>
      </c>
      <c r="Q35" s="351">
        <f>IF('3 TASE'!J95=0,0,IF(Q34&gt;40%,"Hyvä",IF(Q34&lt;20%,"Heikko","Tyydyttävä")))</f>
        <v>0</v>
      </c>
      <c r="R35" s="351">
        <f>IF('3 TASE'!K95=0,0,IF(R34&gt;40%,"Hyvä",IF(R34&lt;20%,"Heikko","Tyydyttävä")))</f>
        <v>0</v>
      </c>
      <c r="S35" s="352">
        <f>IF('3 TASE'!L95=0,0,IF(S34&gt;40%,"Hyvä",IF(S34&lt;20%,"Heikko","Tyydyttävä")))</f>
        <v>0</v>
      </c>
    </row>
    <row r="36" spans="3:19" ht="16" customHeight="1" x14ac:dyDescent="0.35">
      <c r="C36" s="176" t="s">
        <v>311</v>
      </c>
      <c r="D36" s="5" t="s">
        <v>287</v>
      </c>
      <c r="F36" s="661"/>
      <c r="G36" s="661"/>
      <c r="H36" s="151">
        <f>H19+H20+H21+H22+H23+H24+H25+H31-H32+H33+H34+H35+H30+H26+H27+H28+H29</f>
        <v>0</v>
      </c>
      <c r="I36" s="151">
        <f t="shared" ref="I36:K36" si="8">I19+I20+I21+I22+I23+I24+I25+I31-I32+I33+I34+I35+I30+I26+I27+I28+I29</f>
        <v>0</v>
      </c>
      <c r="J36" s="151">
        <f t="shared" si="8"/>
        <v>0</v>
      </c>
      <c r="K36" s="177">
        <f t="shared" si="8"/>
        <v>0</v>
      </c>
      <c r="M36" s="174" t="s">
        <v>364</v>
      </c>
      <c r="N36" s="334">
        <f>IF(N76=0,0,(N88-N89)/N72)</f>
        <v>0</v>
      </c>
      <c r="O36" s="334">
        <f t="shared" ref="O36:S36" si="9">IF(O76=0,0,(O88-O89)/O72)</f>
        <v>0</v>
      </c>
      <c r="P36" s="334">
        <f t="shared" si="9"/>
        <v>0</v>
      </c>
      <c r="Q36" s="334">
        <f t="shared" si="9"/>
        <v>0</v>
      </c>
      <c r="R36" s="334">
        <f t="shared" si="9"/>
        <v>0</v>
      </c>
      <c r="S36" s="335">
        <f t="shared" si="9"/>
        <v>0</v>
      </c>
    </row>
    <row r="37" spans="3:19" ht="16" customHeight="1" thickBot="1" x14ac:dyDescent="0.4">
      <c r="C37" s="176" t="s">
        <v>312</v>
      </c>
      <c r="D37" s="5" t="s">
        <v>325</v>
      </c>
      <c r="F37" s="673"/>
      <c r="G37" s="673"/>
      <c r="H37" s="156">
        <f>H16-H36</f>
        <v>0</v>
      </c>
      <c r="I37" s="156">
        <f>I16-I36</f>
        <v>0</v>
      </c>
      <c r="J37" s="156">
        <f>J16-J36</f>
        <v>0</v>
      </c>
      <c r="K37" s="216">
        <f>K16-K36</f>
        <v>0</v>
      </c>
      <c r="M37" s="659" t="s">
        <v>352</v>
      </c>
      <c r="N37" s="351" t="str">
        <f>IF('3 TASE'!G95=0,"",IF('3 TASE'!G53&lt;0,"Heikko",IF(N36&lt;0,"Nettovelaton",IF(N36&gt;1,"","Hyvä"))))</f>
        <v/>
      </c>
      <c r="O37" s="351" t="str">
        <f>IF('3 TASE'!H95=0,"",IF('3 TASE'!H53&lt;0,"Heikko",IF(O36&lt;0,"Nettovelaton",IF(O36&gt;1,"","Hyvä"))))</f>
        <v/>
      </c>
      <c r="P37" s="351" t="str">
        <f>IF('3 TASE'!I95=0,"",IF('3 TASE'!I53&lt;0,"Heikko",IF(P36&lt;0,"Nettovelaton",IF(P36&gt;1,"","Hyvä"))))</f>
        <v/>
      </c>
      <c r="Q37" s="351" t="str">
        <f>IF('3 TASE'!J95=0,"",IF('3 TASE'!J53&lt;0,"Heikko",IF(Q36&lt;0,"Nettovelaton",IF(Q36&gt;1,"","Hyvä"))))</f>
        <v/>
      </c>
      <c r="R37" s="351" t="str">
        <f>IF('3 TASE'!K95=0,"",IF('3 TASE'!K53&lt;0,"Heikko",IF(R36&lt;0,"Nettovelaton",IF(R36&gt;1,"","Hyvä"))))</f>
        <v/>
      </c>
      <c r="S37" s="352" t="str">
        <f>IF('3 TASE'!L95=0,"",IF('3 TASE'!L53&lt;0,"Heikko",IF(S36&lt;0,"Nettovelaton",IF(S36&gt;1,"","Hyvä"))))</f>
        <v/>
      </c>
    </row>
    <row r="38" spans="3:19" ht="16" customHeight="1" thickBot="1" x14ac:dyDescent="0.4">
      <c r="C38" s="190" t="s">
        <v>313</v>
      </c>
      <c r="D38" s="191" t="s">
        <v>324</v>
      </c>
      <c r="E38" s="192"/>
      <c r="F38" s="217">
        <f>'3 TASE'!G46</f>
        <v>0</v>
      </c>
      <c r="G38" s="217">
        <f>'3 TASE'!H46</f>
        <v>0</v>
      </c>
      <c r="H38" s="217">
        <f>H37+G38</f>
        <v>0</v>
      </c>
      <c r="I38" s="217">
        <f>H38+I37</f>
        <v>0</v>
      </c>
      <c r="J38" s="217">
        <f t="shared" ref="J38:K38" si="10">I38+J37</f>
        <v>0</v>
      </c>
      <c r="K38" s="218">
        <f t="shared" si="10"/>
        <v>0</v>
      </c>
      <c r="M38" s="195" t="s">
        <v>365</v>
      </c>
      <c r="S38" s="193"/>
    </row>
    <row r="39" spans="3:19" ht="16" customHeight="1" thickBot="1" x14ac:dyDescent="0.4">
      <c r="C39" s="724"/>
      <c r="D39" s="725" t="s">
        <v>326</v>
      </c>
      <c r="E39" s="726"/>
      <c r="F39" s="727"/>
      <c r="G39" s="727">
        <f>IF('5 KUSTANNUKSET'!E45=0,0,G38/'5 KUSTANNUKSET'!E45*365)</f>
        <v>0</v>
      </c>
      <c r="H39" s="727">
        <f>IF('5 KUSTANNUKSET'!G45=0,0,H38/'5 KUSTANNUKSET'!G45*365)</f>
        <v>0</v>
      </c>
      <c r="I39" s="727">
        <f>IF('5 KUSTANNUKSET'!I45=0,0,I38/'5 KUSTANNUKSET'!I45*365)</f>
        <v>0</v>
      </c>
      <c r="J39" s="727">
        <f>IF('5 KUSTANNUKSET'!K45=0,0,J38/'5 KUSTANNUKSET'!K45*365)</f>
        <v>0</v>
      </c>
      <c r="K39" s="728">
        <f>IF('5 KUSTANNUKSET'!M45=0,0,K38/'5 KUSTANNUKSET'!M45*365)</f>
        <v>0</v>
      </c>
      <c r="M39" s="174" t="s">
        <v>668</v>
      </c>
      <c r="N39" s="676"/>
      <c r="O39" s="676"/>
      <c r="P39" s="151">
        <f>('5 KUSTANNUKSET'!G11+'5 KUSTANNUKSET'!G32-'5 KUSTANNUKSET'!G38+'5 KUSTANNUKSET'!G39)/'2 &amp; 7 TULOSSUUNNITELMA'!J33</f>
        <v>0</v>
      </c>
      <c r="Q39" s="151">
        <f>('5 KUSTANNUKSET'!I11+'5 KUSTANNUKSET'!I32-'5 KUSTANNUKSET'!I38+'5 KUSTANNUKSET'!I39)/'2 &amp; 7 TULOSSUUNNITELMA'!J33</f>
        <v>0</v>
      </c>
      <c r="R39" s="151">
        <f>('5 KUSTANNUKSET'!K11+'5 KUSTANNUKSET'!K32-'5 KUSTANNUKSET'!K38+'5 KUSTANNUKSET'!K39)/'2 &amp; 7 TULOSSUUNNITELMA'!N33</f>
        <v>0</v>
      </c>
      <c r="S39" s="177">
        <f>('5 KUSTANNUKSET'!M11+'5 KUSTANNUKSET'!M32-'5 KUSTANNUKSET'!M38+'5 KUSTANNUKSET'!M39)/'2 &amp; 7 TULOSSUUNNITELMA'!P33</f>
        <v>0</v>
      </c>
    </row>
    <row r="40" spans="3:19" ht="16" customHeight="1" thickBot="1" x14ac:dyDescent="0.4">
      <c r="D40" s="214" t="s">
        <v>900</v>
      </c>
      <c r="E40" s="783"/>
      <c r="F40" s="215">
        <f>F38-'3 TASE'!G46</f>
        <v>0</v>
      </c>
      <c r="G40" s="215">
        <f>G38-'3 TASE'!H46</f>
        <v>0</v>
      </c>
      <c r="H40" s="215">
        <f>H38-'3 TASE'!I46</f>
        <v>0</v>
      </c>
      <c r="I40" s="215">
        <f>I38-'3 TASE'!J46</f>
        <v>0</v>
      </c>
      <c r="J40" s="215">
        <f>J38-'3 TASE'!K46</f>
        <v>0</v>
      </c>
      <c r="K40" s="215">
        <f>K38-'3 TASE'!L46</f>
        <v>0</v>
      </c>
      <c r="M40" s="174" t="s">
        <v>669</v>
      </c>
      <c r="N40" s="676"/>
      <c r="O40" s="676"/>
      <c r="P40" s="151">
        <f>P39+('5 KUSTANNUKSET'!F38+'5 KUSTANNUKSET'!F46)/'2 &amp; 7 TULOSSUUNNITELMA'!J33</f>
        <v>0</v>
      </c>
      <c r="Q40" s="151">
        <f>Q39+('5 KUSTANNUKSET'!G38+'5 KUSTANNUKSET'!G46)/'2 &amp; 7 TULOSSUUNNITELMA'!L33</f>
        <v>0</v>
      </c>
      <c r="R40" s="151">
        <f>R39+('5 KUSTANNUKSET'!H38+'5 KUSTANNUKSET'!H46)/'2 &amp; 7 TULOSSUUNNITELMA'!N33</f>
        <v>0</v>
      </c>
      <c r="S40" s="177">
        <f>S39+('5 KUSTANNUKSET'!I38+'5 KUSTANNUKSET'!I46)/'2 &amp; 7 TULOSSUUNNITELMA'!P33</f>
        <v>0</v>
      </c>
    </row>
    <row r="41" spans="3:19" ht="16" customHeight="1" x14ac:dyDescent="0.35">
      <c r="C41" s="408"/>
      <c r="D41" s="470" t="s">
        <v>327</v>
      </c>
      <c r="E41" s="417"/>
      <c r="F41" s="827" t="str">
        <f>F7</f>
        <v>Toteuma</v>
      </c>
      <c r="G41" s="827" t="str">
        <f t="shared" ref="G41:K41" si="11">G7</f>
        <v>Toteuma</v>
      </c>
      <c r="H41" s="806" t="str">
        <f t="shared" si="11"/>
        <v>Ennuste 1</v>
      </c>
      <c r="I41" s="806" t="str">
        <f t="shared" si="11"/>
        <v>Ennuste 2</v>
      </c>
      <c r="J41" s="806" t="str">
        <f t="shared" si="11"/>
        <v>Ennuste 3</v>
      </c>
      <c r="K41" s="807" t="str">
        <f t="shared" si="11"/>
        <v>Ennuste 4</v>
      </c>
      <c r="M41" s="174" t="s">
        <v>596</v>
      </c>
      <c r="N41" s="349">
        <f>IF('2 &amp; 7 TULOSSUUNNITELMA'!F14=0,0,1.77*100*F10/'2 &amp; 7 TULOSSUUNNITELMA'!F14+14.14*N26+0.54*N34)</f>
        <v>0</v>
      </c>
      <c r="O41" s="349">
        <f>IF('2 &amp; 7 TULOSSUUNNITELMA'!H14=0,0,1.77*100*G10/'2 &amp; 7 TULOSSUUNNITELMA'!H14+14.14*O26+0.54*O34)</f>
        <v>0</v>
      </c>
      <c r="P41" s="349">
        <f>IF('2 &amp; 7 TULOSSUUNNITELMA'!J14=0,0,1.77*100*H10/'2 &amp; 7 TULOSSUUNNITELMA'!J14+14.14*P26+0.54*P34)</f>
        <v>0</v>
      </c>
      <c r="Q41" s="349">
        <f>IF('2 &amp; 7 TULOSSUUNNITELMA'!L14=0,0,1.77*100*I10/'2 &amp; 7 TULOSSUUNNITELMA'!L14+14.14*Q26+0.54*Q34)</f>
        <v>0</v>
      </c>
      <c r="R41" s="349">
        <f>IF('2 &amp; 7 TULOSSUUNNITELMA'!N14=0,0,1.77*100*J10/'2 &amp; 7 TULOSSUUNNITELMA'!N14+14.14*R26+0.54*R34)</f>
        <v>0</v>
      </c>
      <c r="S41" s="350">
        <f>IF('2 &amp; 7 TULOSSUUNNITELMA'!P14=0,0,1.77*100*K10/'2 &amp; 7 TULOSSUUNNITELMA'!P14+14.14*S26+0.54*S34)</f>
        <v>0</v>
      </c>
    </row>
    <row r="42" spans="3:19" ht="16" customHeight="1" x14ac:dyDescent="0.4">
      <c r="C42" s="412"/>
      <c r="D42" s="341"/>
      <c r="E42" s="473"/>
      <c r="F42" s="808">
        <f>F8</f>
        <v>2024</v>
      </c>
      <c r="G42" s="808">
        <f t="shared" ref="G42:K42" si="12">G8</f>
        <v>2025</v>
      </c>
      <c r="H42" s="808">
        <f t="shared" si="12"/>
        <v>2026</v>
      </c>
      <c r="I42" s="808">
        <f t="shared" si="12"/>
        <v>2027</v>
      </c>
      <c r="J42" s="808">
        <f t="shared" si="12"/>
        <v>2028</v>
      </c>
      <c r="K42" s="809">
        <f t="shared" si="12"/>
        <v>2029</v>
      </c>
      <c r="M42" s="659" t="s">
        <v>352</v>
      </c>
      <c r="N42" s="351">
        <f>IF('2 &amp; 7 TULOSSUUNNITELMA'!F14=0,0,IF(N41&gt;28,"Hyvä",IF(N41&lt;18,"Heikko","Tyydyttävä")))</f>
        <v>0</v>
      </c>
      <c r="O42" s="351">
        <f>IF('2 &amp; 7 TULOSSUUNNITELMA'!H14=0,0,IF(O41&gt;28,"Hyvä",IF(O41&lt;18,"Heikko","Tyydyttävä")))</f>
        <v>0</v>
      </c>
      <c r="P42" s="351">
        <f>IF('2 &amp; 7 TULOSSUUNNITELMA'!J14=0,0,IF(P41&gt;28,"Hyvä",IF(P41&lt;18,"Heikko","Tyydyttävä")))</f>
        <v>0</v>
      </c>
      <c r="Q42" s="351">
        <f>IF('2 &amp; 7 TULOSSUUNNITELMA'!L14=0,0,IF(Q41&gt;28,"Hyvä",IF(Q41&lt;18,"Heikko","Tyydyttävä")))</f>
        <v>0</v>
      </c>
      <c r="R42" s="351">
        <f>IF('2 &amp; 7 TULOSSUUNNITELMA'!N14=0,0,IF(R41&gt;28,"Hyvä",IF(R41&lt;18,"Heikko","Tyydyttävä")))</f>
        <v>0</v>
      </c>
      <c r="S42" s="352">
        <f>IF('2 &amp; 7 TULOSSUUNNITELMA'!P14=0,0,IF(S41&gt;28,"Hyvä",IF(S41&lt;18,"Heikko","Tyydyttävä")))</f>
        <v>0</v>
      </c>
    </row>
    <row r="43" spans="3:19" ht="16" customHeight="1" x14ac:dyDescent="0.4">
      <c r="C43" s="174"/>
      <c r="D43" s="14" t="s">
        <v>327</v>
      </c>
      <c r="K43" s="193"/>
      <c r="M43" s="195" t="s">
        <v>366</v>
      </c>
      <c r="N43" s="810">
        <f>N8</f>
        <v>2024</v>
      </c>
      <c r="O43" s="810">
        <f t="shared" ref="O43:S43" si="13">O8</f>
        <v>2025</v>
      </c>
      <c r="P43" s="810">
        <f t="shared" si="13"/>
        <v>2026</v>
      </c>
      <c r="Q43" s="810">
        <f t="shared" si="13"/>
        <v>2027</v>
      </c>
      <c r="R43" s="810">
        <f t="shared" si="13"/>
        <v>2028</v>
      </c>
      <c r="S43" s="811">
        <f t="shared" si="13"/>
        <v>2029</v>
      </c>
    </row>
    <row r="44" spans="3:19" ht="16" customHeight="1" x14ac:dyDescent="0.35">
      <c r="C44" s="174" t="s">
        <v>328</v>
      </c>
      <c r="D44" s="5" t="s">
        <v>336</v>
      </c>
      <c r="E44" s="325" t="s">
        <v>222</v>
      </c>
      <c r="F44" s="151">
        <f>'3 TASE'!G36</f>
        <v>0</v>
      </c>
      <c r="G44" s="151">
        <f>'3 TASE'!H36</f>
        <v>0</v>
      </c>
      <c r="H44" s="151">
        <f>IF('2 &amp; 7 TULOSSUUNNITELMA'!J11=0,0,'2 &amp; 7 TULOSSUUNNITELMA'!J11*'8 RAHOITUSSUUNNITELMA'!H45)</f>
        <v>0</v>
      </c>
      <c r="I44" s="151">
        <f>IF('2 &amp; 7 TULOSSUUNNITELMA'!L11=0,0,'2 &amp; 7 TULOSSUUNNITELMA'!L11*'8 RAHOITUSSUUNNITELMA'!I45)</f>
        <v>0</v>
      </c>
      <c r="J44" s="151">
        <f>IF('2 &amp; 7 TULOSSUUNNITELMA'!N11=0,0,'2 &amp; 7 TULOSSUUNNITELMA'!N11*'8 RAHOITUSSUUNNITELMA'!J45)</f>
        <v>0</v>
      </c>
      <c r="K44" s="177">
        <f>IF('2 &amp; 7 TULOSSUUNNITELMA'!P11=0,0,'2 &amp; 7 TULOSSUUNNITELMA'!P11*'8 RAHOITUSSUUNNITELMA'!K45)</f>
        <v>0</v>
      </c>
      <c r="M44" s="174" t="s">
        <v>367</v>
      </c>
      <c r="N44" s="151">
        <f>'3 TASE'!G48</f>
        <v>0</v>
      </c>
      <c r="O44" s="151">
        <f>'3 TASE'!H48</f>
        <v>0</v>
      </c>
      <c r="P44" s="151">
        <f>'3 TASE'!I48</f>
        <v>0</v>
      </c>
      <c r="Q44" s="151">
        <f>'3 TASE'!J48</f>
        <v>0</v>
      </c>
      <c r="R44" s="151">
        <f>'3 TASE'!K48</f>
        <v>0</v>
      </c>
      <c r="S44" s="177">
        <f>'3 TASE'!L48</f>
        <v>0</v>
      </c>
    </row>
    <row r="45" spans="3:19" ht="16" customHeight="1" x14ac:dyDescent="0.35">
      <c r="C45" s="174"/>
      <c r="D45" s="655" t="s">
        <v>242</v>
      </c>
      <c r="F45" s="317">
        <f>IF('2 &amp; 7 TULOSSUUNNITELMA'!F11=0,0,F44/'2 &amp; 7 TULOSSUUNNITELMA'!F11)</f>
        <v>0</v>
      </c>
      <c r="G45" s="317">
        <f>IF('2 &amp; 7 TULOSSUUNNITELMA'!H11=0,0,G44/'2 &amp; 7 TULOSSUUNNITELMA'!H11)</f>
        <v>0</v>
      </c>
      <c r="H45" s="906">
        <f>G45</f>
        <v>0</v>
      </c>
      <c r="I45" s="906">
        <f>H45</f>
        <v>0</v>
      </c>
      <c r="J45" s="906">
        <f>I45</f>
        <v>0</v>
      </c>
      <c r="K45" s="907">
        <f>J45</f>
        <v>0</v>
      </c>
      <c r="M45" s="174" t="s">
        <v>368</v>
      </c>
      <c r="N45" s="151">
        <f>-('3 TASE'!G64+'3 TASE'!G72)</f>
        <v>0</v>
      </c>
      <c r="O45" s="151">
        <f>-('3 TASE'!H64+'3 TASE'!H72)</f>
        <v>0</v>
      </c>
      <c r="P45" s="151">
        <f>-('3 TASE'!I64+'3 TASE'!I72)</f>
        <v>0</v>
      </c>
      <c r="Q45" s="151">
        <f>-('3 TASE'!J64+'3 TASE'!J72)</f>
        <v>0</v>
      </c>
      <c r="R45" s="151">
        <f>-('3 TASE'!K64+'3 TASE'!K72)</f>
        <v>0</v>
      </c>
      <c r="S45" s="177">
        <f>-('3 TASE'!L64+'3 TASE'!L72)</f>
        <v>0</v>
      </c>
    </row>
    <row r="46" spans="3:19" ht="16" customHeight="1" x14ac:dyDescent="0.35">
      <c r="C46" s="174" t="s">
        <v>329</v>
      </c>
      <c r="D46" s="5" t="s">
        <v>337</v>
      </c>
      <c r="E46" s="325" t="s">
        <v>222</v>
      </c>
      <c r="F46" s="151">
        <f>'3 TASE'!G39</f>
        <v>0</v>
      </c>
      <c r="G46" s="151">
        <f>'3 TASE'!H39</f>
        <v>0</v>
      </c>
      <c r="H46" s="151">
        <f>H47*'2 &amp; 7 TULOSSUUNNITELMA'!J11/365</f>
        <v>0</v>
      </c>
      <c r="I46" s="151">
        <f>I47*'2 &amp; 7 TULOSSUUNNITELMA'!L11/365</f>
        <v>0</v>
      </c>
      <c r="J46" s="151">
        <f>J47*'2 &amp; 7 TULOSSUUNNITELMA'!N11/365</f>
        <v>0</v>
      </c>
      <c r="K46" s="177">
        <f>K47*'2 &amp; 7 TULOSSUUNNITELMA'!P11/365</f>
        <v>0</v>
      </c>
      <c r="M46" s="174" t="s">
        <v>369</v>
      </c>
      <c r="N46" s="864"/>
      <c r="O46" s="864"/>
      <c r="P46" s="864"/>
      <c r="Q46" s="864"/>
      <c r="R46" s="864"/>
      <c r="S46" s="899"/>
    </row>
    <row r="47" spans="3:19" ht="16" customHeight="1" x14ac:dyDescent="0.35">
      <c r="C47" s="174"/>
      <c r="D47" s="655" t="s">
        <v>249</v>
      </c>
      <c r="F47" s="625">
        <f>IF('2 &amp; 7 TULOSSUUNNITELMA'!F11=0,0,365*F46/'2 &amp; 7 TULOSSUUNNITELMA'!F11)</f>
        <v>0</v>
      </c>
      <c r="G47" s="625">
        <f>IF('2 &amp; 7 TULOSSUUNNITELMA'!H11=0,0,365*G46/'2 &amp; 7 TULOSSUUNNITELMA'!H11)</f>
        <v>0</v>
      </c>
      <c r="H47" s="957">
        <f>G47</f>
        <v>0</v>
      </c>
      <c r="I47" s="957">
        <f>H47</f>
        <v>0</v>
      </c>
      <c r="J47" s="957">
        <f>I47</f>
        <v>0</v>
      </c>
      <c r="K47" s="958">
        <f>J47</f>
        <v>0</v>
      </c>
      <c r="M47" s="174" t="s">
        <v>572</v>
      </c>
      <c r="N47" s="864"/>
      <c r="O47" s="864"/>
      <c r="P47" s="864"/>
      <c r="Q47" s="864"/>
      <c r="R47" s="864"/>
      <c r="S47" s="899"/>
    </row>
    <row r="48" spans="3:19" ht="16" customHeight="1" x14ac:dyDescent="0.35">
      <c r="C48" s="174" t="s">
        <v>330</v>
      </c>
      <c r="D48" s="5" t="s">
        <v>338</v>
      </c>
      <c r="E48" s="325" t="s">
        <v>222</v>
      </c>
      <c r="F48" s="151">
        <f>'3 TASE'!G43+'3 TASE'!G44</f>
        <v>0</v>
      </c>
      <c r="G48" s="151">
        <f>'3 TASE'!H43+'3 TASE'!H44</f>
        <v>0</v>
      </c>
      <c r="H48" s="151">
        <f>'3 TASE'!I43+'3 TASE'!I44</f>
        <v>0</v>
      </c>
      <c r="I48" s="151">
        <f>'3 TASE'!J43+'3 TASE'!J44</f>
        <v>0</v>
      </c>
      <c r="J48" s="151">
        <f>'3 TASE'!K43+'3 TASE'!K44</f>
        <v>0</v>
      </c>
      <c r="K48" s="177">
        <f>'3 TASE'!L43+'3 TASE'!L44</f>
        <v>0</v>
      </c>
      <c r="M48" s="174" t="s">
        <v>370</v>
      </c>
      <c r="N48" s="151">
        <f>N44+N45-N46-N47</f>
        <v>0</v>
      </c>
      <c r="O48" s="151">
        <f t="shared" ref="O48:S48" si="14">O44+O45-O46-O47</f>
        <v>0</v>
      </c>
      <c r="P48" s="151">
        <f>P44+P45-P46-P47</f>
        <v>0</v>
      </c>
      <c r="Q48" s="151">
        <f>Q44+Q45-Q46-Q47</f>
        <v>0</v>
      </c>
      <c r="R48" s="151">
        <f t="shared" si="14"/>
        <v>0</v>
      </c>
      <c r="S48" s="177">
        <f t="shared" si="14"/>
        <v>0</v>
      </c>
    </row>
    <row r="49" spans="3:19" ht="16" customHeight="1" x14ac:dyDescent="0.35">
      <c r="C49" s="174" t="s">
        <v>331</v>
      </c>
      <c r="D49" s="5" t="s">
        <v>339</v>
      </c>
      <c r="E49" s="325" t="s">
        <v>222</v>
      </c>
      <c r="F49" s="151">
        <f>'3 TASE'!G41</f>
        <v>0</v>
      </c>
      <c r="G49" s="151">
        <f>'3 TASE'!H41</f>
        <v>0</v>
      </c>
      <c r="H49" s="151">
        <f>H50*'2 &amp; 7 TULOSSUUNNITELMA'!J11</f>
        <v>0</v>
      </c>
      <c r="I49" s="151">
        <f>I50*'2 &amp; 7 TULOSSUUNNITELMA'!L11</f>
        <v>0</v>
      </c>
      <c r="J49" s="151">
        <f>J50*'2 &amp; 7 TULOSSUUNNITELMA'!N11</f>
        <v>0</v>
      </c>
      <c r="K49" s="177">
        <f>K50*'2 &amp; 7 TULOSSUUNNITELMA'!P11</f>
        <v>0</v>
      </c>
      <c r="M49" s="174" t="s">
        <v>875</v>
      </c>
      <c r="N49" s="661"/>
      <c r="O49" s="661"/>
      <c r="P49" s="864">
        <f>IF(8%*O48&lt;0,0,8%*O48)</f>
        <v>0</v>
      </c>
      <c r="Q49" s="864">
        <f>IF(8%*P48&lt;0,0,8%*P48)</f>
        <v>0</v>
      </c>
      <c r="R49" s="864">
        <f>IF(8%*Q48&lt;0,0,8%*Q48)</f>
        <v>0</v>
      </c>
      <c r="S49" s="899">
        <f>IF(8%*R48&lt;0,0,8%*R48)</f>
        <v>0</v>
      </c>
    </row>
    <row r="50" spans="3:19" ht="16" customHeight="1" x14ac:dyDescent="0.35">
      <c r="C50" s="174"/>
      <c r="D50" s="655" t="s">
        <v>629</v>
      </c>
      <c r="F50" s="317">
        <f>IF('2 &amp; 7 TULOSSUUNNITELMA'!F11=0,0,F49/'2 &amp; 7 TULOSSUUNNITELMA'!F11)</f>
        <v>0</v>
      </c>
      <c r="G50" s="317">
        <f>IF('2 &amp; 7 TULOSSUUNNITELMA'!H11=0,0,G49/'2 &amp; 7 TULOSSUUNNITELMA'!H11)</f>
        <v>0</v>
      </c>
      <c r="H50" s="906">
        <f>G50</f>
        <v>0</v>
      </c>
      <c r="I50" s="906">
        <f t="shared" ref="I50:J50" si="15">H50</f>
        <v>0</v>
      </c>
      <c r="J50" s="906">
        <f t="shared" si="15"/>
        <v>0</v>
      </c>
      <c r="K50" s="907">
        <f>J50</f>
        <v>0</v>
      </c>
      <c r="M50" s="782" t="s">
        <v>371</v>
      </c>
      <c r="N50" s="675"/>
      <c r="O50" s="675"/>
      <c r="P50" s="624">
        <f>IF(P49=0,0,P49/O48)</f>
        <v>0</v>
      </c>
      <c r="Q50" s="624">
        <f>IF(Q49=0,0,Q49/P48)</f>
        <v>0</v>
      </c>
      <c r="R50" s="624">
        <f>IF(R49=0,0,R49/Q48)</f>
        <v>0</v>
      </c>
      <c r="S50" s="654">
        <f>IF(S49=0,0,S49/R48)</f>
        <v>0</v>
      </c>
    </row>
    <row r="51" spans="3:19" ht="16" customHeight="1" x14ac:dyDescent="0.35">
      <c r="C51" s="174" t="s">
        <v>332</v>
      </c>
      <c r="D51" s="5" t="s">
        <v>340</v>
      </c>
      <c r="E51" s="325" t="s">
        <v>223</v>
      </c>
      <c r="F51" s="151">
        <f>'3 TASE'!G78</f>
        <v>0</v>
      </c>
      <c r="G51" s="151">
        <f>'3 TASE'!H78</f>
        <v>0</v>
      </c>
      <c r="H51" s="151">
        <f>IF('2 &amp; 7 TULOSSUUNNITELMA'!J11=0,0,-H52*('2 &amp; 7 TULOSSUUNNITELMA'!J15+'2 &amp; 7 TULOSSUUNNITELMA'!J16+'2 &amp; 7 TULOSSUUNNITELMA'!J18)/365)</f>
        <v>0</v>
      </c>
      <c r="I51" s="151">
        <f>IF('2 &amp; 7 TULOSSUUNNITELMA'!L11=0,0,-I52*('2 &amp; 7 TULOSSUUNNITELMA'!L15+'2 &amp; 7 TULOSSUUNNITELMA'!L16+'2 &amp; 7 TULOSSUUNNITELMA'!L18)/365)</f>
        <v>0</v>
      </c>
      <c r="J51" s="151">
        <f>IF('2 &amp; 7 TULOSSUUNNITELMA'!N11=0,0,-J52*('2 &amp; 7 TULOSSUUNNITELMA'!N15+'2 &amp; 7 TULOSSUUNNITELMA'!N16+'2 &amp; 7 TULOSSUUNNITELMA'!N18)/365)</f>
        <v>0</v>
      </c>
      <c r="K51" s="177">
        <f>IF('2 &amp; 7 TULOSSUUNNITELMA'!P11=0,0,-K52*('2 &amp; 7 TULOSSUUNNITELMA'!P15+'2 &amp; 7 TULOSSUUNNITELMA'!P16+'2 &amp; 7 TULOSSUUNNITELMA'!P18)/365)</f>
        <v>0</v>
      </c>
      <c r="M51" s="782" t="s">
        <v>372</v>
      </c>
      <c r="N51" s="675"/>
      <c r="O51" s="675"/>
      <c r="P51" s="624">
        <f>IF(P49=0,0,P49/'2 &amp; 7 TULOSSUUNNITELMA'!J31)</f>
        <v>0</v>
      </c>
      <c r="Q51" s="624">
        <f>IF(Q49=0,0,Q49/'2 &amp; 7 TULOSSUUNNITELMA'!L31)</f>
        <v>0</v>
      </c>
      <c r="R51" s="624">
        <f>IF(R49=0,0,R49/'2 &amp; 7 TULOSSUUNNITELMA'!N31)</f>
        <v>0</v>
      </c>
      <c r="S51" s="654">
        <f>IF(S49=0,0,S49/'2 &amp; 7 TULOSSUUNNITELMA'!P31)</f>
        <v>0</v>
      </c>
    </row>
    <row r="52" spans="3:19" ht="16" customHeight="1" x14ac:dyDescent="0.35">
      <c r="C52" s="174"/>
      <c r="D52" s="655" t="s">
        <v>268</v>
      </c>
      <c r="F52" s="625">
        <f>-IF('2 &amp; 7 TULOSSUUNNITELMA'!F15+'2 &amp; 7 TULOSSUUNNITELMA'!F16+'2 &amp; 7 TULOSSUUNNITELMA'!F18=0,0,365*F51/('2 &amp; 7 TULOSSUUNNITELMA'!F15+'2 &amp; 7 TULOSSUUNNITELMA'!F16+'2 &amp; 7 TULOSSUUNNITELMA'!F18))</f>
        <v>0</v>
      </c>
      <c r="G52" s="625">
        <f>-IF('2 &amp; 7 TULOSSUUNNITELMA'!H15+'2 &amp; 7 TULOSSUUNNITELMA'!H16+'2 &amp; 7 TULOSSUUNNITELMA'!H18=0,0,365*G51/('2 &amp; 7 TULOSSUUNNITELMA'!H15+'2 &amp; 7 TULOSSUUNNITELMA'!H16+'2 &amp; 7 TULOSSUUNNITELMA'!H18))</f>
        <v>0</v>
      </c>
      <c r="H52" s="957">
        <f>G52</f>
        <v>0</v>
      </c>
      <c r="I52" s="957">
        <f>H52</f>
        <v>0</v>
      </c>
      <c r="J52" s="957">
        <f>I52</f>
        <v>0</v>
      </c>
      <c r="K52" s="958">
        <f>J52</f>
        <v>0</v>
      </c>
      <c r="M52" s="174"/>
      <c r="S52" s="193"/>
    </row>
    <row r="53" spans="3:19" ht="16" customHeight="1" x14ac:dyDescent="0.35">
      <c r="C53" s="174" t="s">
        <v>333</v>
      </c>
      <c r="D53" s="5" t="s">
        <v>341</v>
      </c>
      <c r="E53" s="325" t="s">
        <v>223</v>
      </c>
      <c r="F53" s="151">
        <f>'3 TASE'!G93</f>
        <v>0</v>
      </c>
      <c r="G53" s="151">
        <f>'3 TASE'!H93</f>
        <v>0</v>
      </c>
      <c r="H53" s="151">
        <f>H54*'2 &amp; 7 TULOSSUUNNITELMA'!J11</f>
        <v>0</v>
      </c>
      <c r="I53" s="151">
        <f>I54*'2 &amp; 7 TULOSSUUNNITELMA'!L11</f>
        <v>0</v>
      </c>
      <c r="J53" s="151">
        <f>J54*'2 &amp; 7 TULOSSUUNNITELMA'!N11</f>
        <v>0</v>
      </c>
      <c r="K53" s="177">
        <f>K54*'2 &amp; 7 TULOSSUUNNITELMA'!P11</f>
        <v>0</v>
      </c>
      <c r="M53" s="954" t="s">
        <v>902</v>
      </c>
      <c r="N53" s="955">
        <f>'3 TASE'!G53-'8 RAHOITUSSUUNNITELMA'!N48</f>
        <v>0</v>
      </c>
      <c r="O53" s="955">
        <f>'3 TASE'!H53-'8 RAHOITUSSUUNNITELMA'!O48</f>
        <v>0</v>
      </c>
      <c r="P53" s="955">
        <f>'3 TASE'!I53-'8 RAHOITUSSUUNNITELMA'!P48</f>
        <v>0</v>
      </c>
      <c r="Q53" s="955">
        <f>'3 TASE'!J53-'8 RAHOITUSSUUNNITELMA'!Q48</f>
        <v>0</v>
      </c>
      <c r="R53" s="955">
        <f>'3 TASE'!K53-'8 RAHOITUSSUUNNITELMA'!R48</f>
        <v>0</v>
      </c>
      <c r="S53" s="956">
        <f>'3 TASE'!L53-'8 RAHOITUSSUUNNITELMA'!S48</f>
        <v>0</v>
      </c>
    </row>
    <row r="54" spans="3:19" ht="16" customHeight="1" x14ac:dyDescent="0.35">
      <c r="C54" s="174"/>
      <c r="D54" s="655" t="s">
        <v>630</v>
      </c>
      <c r="F54" s="317">
        <f>IF('2 &amp; 7 TULOSSUUNNITELMA'!F11=0,0,F53/'2 &amp; 7 TULOSSUUNNITELMA'!F11)</f>
        <v>0</v>
      </c>
      <c r="G54" s="317">
        <f>IF('2 &amp; 7 TULOSSUUNNITELMA'!H11=0,0,G53/'2 &amp; 7 TULOSSUUNNITELMA'!H11)</f>
        <v>0</v>
      </c>
      <c r="H54" s="906">
        <f>G54</f>
        <v>0</v>
      </c>
      <c r="I54" s="906">
        <f t="shared" ref="I54:K54" si="16">H54</f>
        <v>0</v>
      </c>
      <c r="J54" s="906">
        <f t="shared" si="16"/>
        <v>0</v>
      </c>
      <c r="K54" s="907">
        <f t="shared" si="16"/>
        <v>0</v>
      </c>
      <c r="M54" s="174"/>
      <c r="S54" s="193"/>
    </row>
    <row r="55" spans="3:19" ht="16" customHeight="1" x14ac:dyDescent="0.35">
      <c r="C55" s="174" t="s">
        <v>334</v>
      </c>
      <c r="D55" s="5" t="s">
        <v>342</v>
      </c>
      <c r="E55" s="325" t="s">
        <v>343</v>
      </c>
      <c r="F55" s="151">
        <f>F44+F46+F49-F51-F53+F48</f>
        <v>0</v>
      </c>
      <c r="G55" s="151">
        <f>G44+G46+G49-G51-G53+G48</f>
        <v>0</v>
      </c>
      <c r="H55" s="151">
        <f t="shared" ref="H55:K55" si="17">H44+H46+H49-H51-H53+H48</f>
        <v>0</v>
      </c>
      <c r="I55" s="151">
        <f t="shared" si="17"/>
        <v>0</v>
      </c>
      <c r="J55" s="151">
        <f t="shared" si="17"/>
        <v>0</v>
      </c>
      <c r="K55" s="177">
        <f t="shared" si="17"/>
        <v>0</v>
      </c>
      <c r="M55" s="174"/>
      <c r="S55" s="193"/>
    </row>
    <row r="56" spans="3:19" ht="16" customHeight="1" thickBot="1" x14ac:dyDescent="0.4">
      <c r="C56" s="189" t="s">
        <v>335</v>
      </c>
      <c r="D56" s="179" t="s">
        <v>298</v>
      </c>
      <c r="E56" s="194" t="s">
        <v>224</v>
      </c>
      <c r="F56" s="674"/>
      <c r="G56" s="181">
        <f>G55-F55</f>
        <v>0</v>
      </c>
      <c r="H56" s="181">
        <f>IF(G55=0,0,H55-G55)</f>
        <v>0</v>
      </c>
      <c r="I56" s="181">
        <f>I55-H55</f>
        <v>0</v>
      </c>
      <c r="J56" s="181">
        <f>J55-I55</f>
        <v>0</v>
      </c>
      <c r="K56" s="182">
        <f>K55-J55</f>
        <v>0</v>
      </c>
      <c r="M56" s="189"/>
      <c r="N56" s="179"/>
      <c r="O56" s="179"/>
      <c r="P56" s="179"/>
      <c r="Q56" s="179"/>
      <c r="R56" s="179"/>
      <c r="S56" s="196"/>
    </row>
    <row r="58" spans="3:19" ht="16" customHeight="1" x14ac:dyDescent="0.35">
      <c r="D58" s="197" t="s">
        <v>578</v>
      </c>
    </row>
    <row r="59" spans="3:19" ht="16" customHeight="1" x14ac:dyDescent="0.35">
      <c r="D59" s="984" t="s">
        <v>579</v>
      </c>
    </row>
    <row r="60" spans="3:19" ht="16" customHeight="1" x14ac:dyDescent="0.35">
      <c r="D60" s="984"/>
    </row>
    <row r="61" spans="3:19" ht="16" customHeight="1" x14ac:dyDescent="0.35">
      <c r="D61" s="984"/>
    </row>
    <row r="66" spans="13:19" ht="16" customHeight="1" x14ac:dyDescent="0.35">
      <c r="M66" s="41" t="s">
        <v>670</v>
      </c>
    </row>
    <row r="68" spans="13:19" ht="16" customHeight="1" x14ac:dyDescent="0.35">
      <c r="N68" s="734" t="str">
        <f>N7</f>
        <v>Toteuma</v>
      </c>
      <c r="O68" s="734" t="str">
        <f t="shared" ref="O68:S68" si="18">O7</f>
        <v>Toteuma</v>
      </c>
      <c r="P68" s="734" t="str">
        <f t="shared" si="18"/>
        <v>Ennuste 1</v>
      </c>
      <c r="Q68" s="734" t="str">
        <f t="shared" si="18"/>
        <v>Ennuste 2</v>
      </c>
      <c r="R68" s="734" t="str">
        <f t="shared" si="18"/>
        <v>Ennuste 3</v>
      </c>
      <c r="S68" s="734" t="str">
        <f t="shared" si="18"/>
        <v>Ennuste 4</v>
      </c>
    </row>
    <row r="69" spans="13:19" ht="16" customHeight="1" x14ac:dyDescent="0.35">
      <c r="M69" s="149" t="s">
        <v>651</v>
      </c>
      <c r="N69" s="96">
        <f>N8</f>
        <v>2024</v>
      </c>
      <c r="O69" s="96">
        <f t="shared" ref="O69:S69" si="19">O8</f>
        <v>2025</v>
      </c>
      <c r="P69" s="96">
        <f t="shared" si="19"/>
        <v>2026</v>
      </c>
      <c r="Q69" s="96">
        <f t="shared" si="19"/>
        <v>2027</v>
      </c>
      <c r="R69" s="96">
        <f t="shared" si="19"/>
        <v>2028</v>
      </c>
      <c r="S69" s="96">
        <f t="shared" si="19"/>
        <v>2029</v>
      </c>
    </row>
    <row r="70" spans="13:19" ht="16" customHeight="1" x14ac:dyDescent="0.35">
      <c r="M70" s="144" t="s">
        <v>652</v>
      </c>
      <c r="N70" s="151">
        <f>N17+'2 &amp; 7 TULOSSUUNNITELMA'!F24+'2 &amp; 7 TULOSSUUNNITELMA'!F25+'2 &amp; 7 TULOSSUUNNITELMA'!F27</f>
        <v>0</v>
      </c>
      <c r="O70" s="151">
        <f>O17+'2 &amp; 7 TULOSSUUNNITELMA'!H24+'2 &amp; 7 TULOSSUUNNITELMA'!H25+'2 &amp; 7 TULOSSUUNNITELMA'!H27</f>
        <v>0</v>
      </c>
      <c r="P70" s="151">
        <f>P17+'2 &amp; 7 TULOSSUUNNITELMA'!J24+'2 &amp; 7 TULOSSUUNNITELMA'!J25+'2 &amp; 7 TULOSSUUNNITELMA'!J27</f>
        <v>0</v>
      </c>
      <c r="Q70" s="151">
        <f>Q17+'2 &amp; 7 TULOSSUUNNITELMA'!L24+'2 &amp; 7 TULOSSUUNNITELMA'!L25+'2 &amp; 7 TULOSSUUNNITELMA'!L27</f>
        <v>0</v>
      </c>
      <c r="R70" s="151">
        <f>R17+'2 &amp; 7 TULOSSUUNNITELMA'!N24+'2 &amp; 7 TULOSSUUNNITELMA'!N25+'2 &amp; 7 TULOSSUUNNITELMA'!N27</f>
        <v>0</v>
      </c>
      <c r="S70" s="151">
        <f>S17+'2 &amp; 7 TULOSSUUNNITELMA'!P24+'2 &amp; 7 TULOSSUUNNITELMA'!P25+'2 &amp; 7 TULOSSUUNNITELMA'!P27</f>
        <v>0</v>
      </c>
    </row>
    <row r="71" spans="13:19" ht="16" customHeight="1" x14ac:dyDescent="0.35">
      <c r="M71" s="144" t="s">
        <v>653</v>
      </c>
      <c r="N71" s="151"/>
      <c r="O71" s="151">
        <f>N72</f>
        <v>0</v>
      </c>
      <c r="P71" s="151">
        <f>O72</f>
        <v>0</v>
      </c>
      <c r="Q71" s="151">
        <f t="shared" ref="Q71:S71" si="20">P72</f>
        <v>0</v>
      </c>
      <c r="R71" s="151">
        <f t="shared" si="20"/>
        <v>0</v>
      </c>
      <c r="S71" s="151">
        <f t="shared" si="20"/>
        <v>0</v>
      </c>
    </row>
    <row r="72" spans="13:19" ht="16" customHeight="1" x14ac:dyDescent="0.35">
      <c r="M72" s="144" t="s">
        <v>654</v>
      </c>
      <c r="N72" s="151">
        <f>'3 TASE'!G53</f>
        <v>0</v>
      </c>
      <c r="O72" s="151">
        <f>'3 TASE'!H53</f>
        <v>0</v>
      </c>
      <c r="P72" s="151">
        <f>'3 TASE'!I53</f>
        <v>0</v>
      </c>
      <c r="Q72" s="151">
        <f>'3 TASE'!J53</f>
        <v>0</v>
      </c>
      <c r="R72" s="151">
        <f>'3 TASE'!K53</f>
        <v>0</v>
      </c>
      <c r="S72" s="151">
        <f>'3 TASE'!L53</f>
        <v>0</v>
      </c>
    </row>
    <row r="73" spans="13:19" ht="16" customHeight="1" x14ac:dyDescent="0.35">
      <c r="M73" s="150" t="s">
        <v>655</v>
      </c>
      <c r="N73" s="156">
        <f t="shared" ref="N73:S73" si="21">(N71+N72)/2</f>
        <v>0</v>
      </c>
      <c r="O73" s="156">
        <f t="shared" si="21"/>
        <v>0</v>
      </c>
      <c r="P73" s="156">
        <f t="shared" si="21"/>
        <v>0</v>
      </c>
      <c r="Q73" s="156">
        <f t="shared" si="21"/>
        <v>0</v>
      </c>
      <c r="R73" s="156">
        <f t="shared" si="21"/>
        <v>0</v>
      </c>
      <c r="S73" s="156">
        <f t="shared" si="21"/>
        <v>0</v>
      </c>
    </row>
    <row r="74" spans="13:19" ht="16" customHeight="1" x14ac:dyDescent="0.35">
      <c r="M74" s="146"/>
      <c r="N74" s="329"/>
      <c r="O74" s="329"/>
      <c r="P74" s="329"/>
      <c r="Q74" s="329"/>
      <c r="R74" s="329"/>
      <c r="S74" s="330"/>
    </row>
    <row r="75" spans="13:19" ht="16" customHeight="1" x14ac:dyDescent="0.35">
      <c r="M75" s="331" t="s">
        <v>656</v>
      </c>
      <c r="N75" s="209"/>
      <c r="O75" s="209">
        <f>N76</f>
        <v>0</v>
      </c>
      <c r="P75" s="209">
        <f>O76</f>
        <v>0</v>
      </c>
      <c r="Q75" s="209">
        <f>P76</f>
        <v>0</v>
      </c>
      <c r="R75" s="209">
        <f>Q76</f>
        <v>0</v>
      </c>
      <c r="S75" s="209">
        <f>R76</f>
        <v>0</v>
      </c>
    </row>
    <row r="76" spans="13:19" ht="16" customHeight="1" x14ac:dyDescent="0.35">
      <c r="M76" s="144" t="s">
        <v>657</v>
      </c>
      <c r="N76" s="151">
        <f>'3 TASE'!G64+'3 TASE'!G73+'3 TASE'!G76+'3 TASE'!G80</f>
        <v>0</v>
      </c>
      <c r="O76" s="151">
        <f>'3 TASE'!H64+'3 TASE'!H73+'3 TASE'!H76+'3 TASE'!H80</f>
        <v>0</v>
      </c>
      <c r="P76" s="151">
        <f>'3 TASE'!I64+'3 TASE'!I73+'3 TASE'!I76+'3 TASE'!I80</f>
        <v>0</v>
      </c>
      <c r="Q76" s="151">
        <f>'3 TASE'!J64+'3 TASE'!J73+'3 TASE'!J76+'3 TASE'!J80</f>
        <v>0</v>
      </c>
      <c r="R76" s="151">
        <f>'3 TASE'!K64+'3 TASE'!K73+'3 TASE'!K76+'3 TASE'!K80</f>
        <v>0</v>
      </c>
      <c r="S76" s="151">
        <f>'3 TASE'!L64+'3 TASE'!L73+'3 TASE'!L76+'3 TASE'!L80</f>
        <v>0</v>
      </c>
    </row>
    <row r="77" spans="13:19" ht="16" customHeight="1" x14ac:dyDescent="0.35">
      <c r="M77" s="144" t="s">
        <v>658</v>
      </c>
      <c r="N77" s="151">
        <f t="shared" ref="N77:S77" si="22">(N75+N76)/2</f>
        <v>0</v>
      </c>
      <c r="O77" s="151">
        <f t="shared" si="22"/>
        <v>0</v>
      </c>
      <c r="P77" s="151">
        <f t="shared" si="22"/>
        <v>0</v>
      </c>
      <c r="Q77" s="151">
        <f t="shared" si="22"/>
        <v>0</v>
      </c>
      <c r="R77" s="151">
        <f t="shared" si="22"/>
        <v>0</v>
      </c>
      <c r="S77" s="151">
        <f t="shared" si="22"/>
        <v>0</v>
      </c>
    </row>
    <row r="78" spans="13:19" ht="16" customHeight="1" x14ac:dyDescent="0.35">
      <c r="M78" s="149" t="s">
        <v>659</v>
      </c>
      <c r="N78" s="162">
        <f>IF(N73&lt;0,N77,N73+N77)</f>
        <v>0</v>
      </c>
      <c r="O78" s="162">
        <f t="shared" ref="O78:S78" si="23">IF(O73&lt;0,O77,O73+O77)</f>
        <v>0</v>
      </c>
      <c r="P78" s="162">
        <f t="shared" si="23"/>
        <v>0</v>
      </c>
      <c r="Q78" s="162">
        <f t="shared" si="23"/>
        <v>0</v>
      </c>
      <c r="R78" s="162">
        <f t="shared" si="23"/>
        <v>0</v>
      </c>
      <c r="S78" s="162">
        <f t="shared" si="23"/>
        <v>0</v>
      </c>
    </row>
    <row r="80" spans="13:19" ht="16" customHeight="1" x14ac:dyDescent="0.35">
      <c r="M80" s="149" t="s">
        <v>660</v>
      </c>
      <c r="N80" s="151"/>
      <c r="O80" s="151"/>
      <c r="P80" s="151">
        <f>P81+P82+P83+P85</f>
        <v>0</v>
      </c>
      <c r="Q80" s="151">
        <f t="shared" ref="Q80:S80" si="24">Q81+Q82+Q83+Q85</f>
        <v>0</v>
      </c>
      <c r="R80" s="151">
        <f t="shared" si="24"/>
        <v>0</v>
      </c>
      <c r="S80" s="151">
        <f t="shared" si="24"/>
        <v>0</v>
      </c>
    </row>
    <row r="81" spans="11:19" ht="16" customHeight="1" x14ac:dyDescent="0.35">
      <c r="M81" s="144" t="s">
        <v>407</v>
      </c>
      <c r="N81" s="661"/>
      <c r="O81" s="661"/>
      <c r="P81" s="151">
        <f>'3 TASE'!H74</f>
        <v>0</v>
      </c>
      <c r="Q81" s="151">
        <f>'3 TASE'!I74</f>
        <v>0</v>
      </c>
      <c r="R81" s="151">
        <f>'3 TASE'!J74</f>
        <v>0</v>
      </c>
      <c r="S81" s="151">
        <f>'3 TASE'!K74</f>
        <v>0</v>
      </c>
    </row>
    <row r="82" spans="11:19" ht="16" customHeight="1" x14ac:dyDescent="0.35">
      <c r="M82" s="144" t="s">
        <v>661</v>
      </c>
      <c r="N82" s="661"/>
      <c r="O82" s="661"/>
      <c r="P82" s="151">
        <f>'1 INVESTOINTISUUNNITELMA'!E50</f>
        <v>0</v>
      </c>
      <c r="Q82" s="151">
        <f>'1 INVESTOINTISUUNNITELMA'!F50</f>
        <v>0</v>
      </c>
      <c r="R82" s="151">
        <f>'1 INVESTOINTISUUNNITELMA'!G50</f>
        <v>0</v>
      </c>
      <c r="S82" s="151">
        <f>'1 INVESTOINTISUUNNITELMA'!H50</f>
        <v>0</v>
      </c>
    </row>
    <row r="83" spans="11:19" ht="16" customHeight="1" x14ac:dyDescent="0.35">
      <c r="M83" s="144" t="s">
        <v>298</v>
      </c>
      <c r="N83" s="661"/>
      <c r="O83" s="661"/>
      <c r="P83" s="151">
        <f>H56</f>
        <v>0</v>
      </c>
      <c r="Q83" s="151">
        <f t="shared" ref="Q83:R83" si="25">I56</f>
        <v>0</v>
      </c>
      <c r="R83" s="151">
        <f t="shared" si="25"/>
        <v>0</v>
      </c>
      <c r="S83" s="151">
        <f>K56</f>
        <v>0</v>
      </c>
    </row>
    <row r="84" spans="11:19" ht="16" customHeight="1" x14ac:dyDescent="0.35">
      <c r="M84" s="144" t="s">
        <v>662</v>
      </c>
      <c r="N84" s="661"/>
      <c r="O84" s="661"/>
      <c r="P84" s="151">
        <f>'3 TASE'!I53</f>
        <v>0</v>
      </c>
      <c r="Q84" s="151">
        <f>'3 TASE'!J53</f>
        <v>0</v>
      </c>
      <c r="R84" s="151">
        <f>'3 TASE'!K53</f>
        <v>0</v>
      </c>
      <c r="S84" s="151">
        <f>'3 TASE'!L53</f>
        <v>0</v>
      </c>
    </row>
    <row r="85" spans="11:19" ht="16" customHeight="1" x14ac:dyDescent="0.35">
      <c r="K85" s="406">
        <v>0.1</v>
      </c>
      <c r="M85" s="144" t="s">
        <v>666</v>
      </c>
      <c r="N85" s="661"/>
      <c r="O85" s="661"/>
      <c r="P85" s="151">
        <f>P84*K85</f>
        <v>0</v>
      </c>
      <c r="Q85" s="151"/>
      <c r="R85" s="151"/>
      <c r="S85" s="151"/>
    </row>
    <row r="87" spans="11:19" ht="16" customHeight="1" x14ac:dyDescent="0.35">
      <c r="M87" s="14" t="s">
        <v>663</v>
      </c>
    </row>
    <row r="88" spans="11:19" ht="16" customHeight="1" x14ac:dyDescent="0.35">
      <c r="M88" s="144" t="s">
        <v>664</v>
      </c>
      <c r="N88" s="151">
        <f>N76-'3 TASE'!G93</f>
        <v>0</v>
      </c>
      <c r="O88" s="151">
        <f>O76-'3 TASE'!H93</f>
        <v>0</v>
      </c>
      <c r="P88" s="151">
        <f>P76-'3 TASE'!I93</f>
        <v>0</v>
      </c>
      <c r="Q88" s="151">
        <f>Q76-'3 TASE'!J93</f>
        <v>0</v>
      </c>
      <c r="R88" s="151">
        <f>R76-'3 TASE'!K93</f>
        <v>0</v>
      </c>
      <c r="S88" s="151">
        <f>S76-'3 TASE'!L93</f>
        <v>0</v>
      </c>
    </row>
    <row r="89" spans="11:19" ht="16" customHeight="1" x14ac:dyDescent="0.35">
      <c r="M89" s="144" t="s">
        <v>665</v>
      </c>
      <c r="N89" s="151">
        <f>'3 TASE'!G45+'3 TASE'!G46</f>
        <v>0</v>
      </c>
      <c r="O89" s="151">
        <f>'3 TASE'!H45+'3 TASE'!H46</f>
        <v>0</v>
      </c>
      <c r="P89" s="151">
        <f>'3 TASE'!I45+'3 TASE'!I46</f>
        <v>0</v>
      </c>
      <c r="Q89" s="151">
        <f>'3 TASE'!J45+'3 TASE'!J46</f>
        <v>0</v>
      </c>
      <c r="R89" s="151">
        <f>'3 TASE'!K45+'3 TASE'!K46</f>
        <v>0</v>
      </c>
      <c r="S89" s="151">
        <f>'3 TASE'!L45+'3 TASE'!L46</f>
        <v>0</v>
      </c>
    </row>
  </sheetData>
  <sheetProtection algorithmName="SHA-512" hashValue="xfYdA0Wn4UU55IQd4dLDttkkK3qbDxw6wIr3c6VSsaAlR8VE62MezxrKVySnCzYXcN8+gq4ikpr0CeYFVQ/VBw==" saltValue="vzHPas8MP/uScPMH/DBrzA==" spinCount="100000" sheet="1" objects="1" scenarios="1" formatCells="0" selectLockedCells="1"/>
  <mergeCells count="1">
    <mergeCell ref="D59:D61"/>
  </mergeCells>
  <phoneticPr fontId="10" type="noConversion"/>
  <conditionalFormatting sqref="N19:S19">
    <cfRule type="containsText" dxfId="44" priority="21" operator="containsText" text="Hyvä">
      <formula>NOT(ISERROR(SEARCH("Hyvä",N19)))</formula>
    </cfRule>
    <cfRule type="containsText" dxfId="43" priority="22" operator="containsText" text="Tyydyttävä">
      <formula>NOT(ISERROR(SEARCH("Tyydyttävä",N19)))</formula>
    </cfRule>
    <cfRule type="containsText" dxfId="42" priority="23" operator="containsText" text="Heikko">
      <formula>NOT(ISERROR(SEARCH("Heikko",N19)))</formula>
    </cfRule>
  </conditionalFormatting>
  <conditionalFormatting sqref="N24:S24">
    <cfRule type="cellIs" dxfId="41" priority="7" operator="greaterThan">
      <formula>0</formula>
    </cfRule>
    <cfRule type="cellIs" dxfId="40" priority="8" operator="lessThan">
      <formula>0</formula>
    </cfRule>
    <cfRule type="containsText" dxfId="39" priority="18" operator="containsText" text="Hyvä">
      <formula>NOT(ISERROR(SEARCH("Hyvä",N24)))</formula>
    </cfRule>
    <cfRule type="containsText" dxfId="38" priority="19" operator="containsText" text="Tyydyttävä">
      <formula>NOT(ISERROR(SEARCH("Tyydyttävä",N24)))</formula>
    </cfRule>
    <cfRule type="containsText" dxfId="37" priority="20" operator="containsText" text="Heikko">
      <formula>NOT(ISERROR(SEARCH("Heikko",N24)))</formula>
    </cfRule>
  </conditionalFormatting>
  <conditionalFormatting sqref="N27:S27">
    <cfRule type="containsText" dxfId="36" priority="42" operator="containsText" text="Hyvä">
      <formula>NOT(ISERROR(SEARCH("Hyvä",N27)))</formula>
    </cfRule>
    <cfRule type="containsText" dxfId="35" priority="43" operator="containsText" text="Tyydyttävä">
      <formula>NOT(ISERROR(SEARCH("Tyydyttävä",N27)))</formula>
    </cfRule>
    <cfRule type="containsText" dxfId="34" priority="44" operator="containsText" text="Heikko">
      <formula>NOT(ISERROR(SEARCH("Heikko",N27)))</formula>
    </cfRule>
  </conditionalFormatting>
  <conditionalFormatting sqref="N29:S29">
    <cfRule type="containsText" dxfId="33" priority="1" operator="containsText" text="Hyvä">
      <formula>NOT(ISERROR(SEARCH("Hyvä",N29)))</formula>
    </cfRule>
    <cfRule type="containsText" dxfId="32" priority="2" operator="containsText" text="Tyydyttävä">
      <formula>NOT(ISERROR(SEARCH("Tyydyttävä",N29)))</formula>
    </cfRule>
    <cfRule type="containsText" dxfId="31" priority="3" operator="containsText" text="Heikko">
      <formula>NOT(ISERROR(SEARCH("Heikko",N29)))</formula>
    </cfRule>
  </conditionalFormatting>
  <conditionalFormatting sqref="N35:S35">
    <cfRule type="containsText" dxfId="30" priority="15" operator="containsText" text="Hyvä">
      <formula>NOT(ISERROR(SEARCH("Hyvä",N35)))</formula>
    </cfRule>
    <cfRule type="containsText" dxfId="29" priority="16" operator="containsText" text="Tyydyttävä">
      <formula>NOT(ISERROR(SEARCH("Tyydyttävä",N35)))</formula>
    </cfRule>
    <cfRule type="containsText" dxfId="28" priority="17" operator="containsText" text="Heikko">
      <formula>NOT(ISERROR(SEARCH("Heikko",N35)))</formula>
    </cfRule>
  </conditionalFormatting>
  <conditionalFormatting sqref="N37:S37">
    <cfRule type="containsText" dxfId="27" priority="4" operator="containsText" text="Nettovelaton">
      <formula>NOT(ISERROR(SEARCH("Nettovelaton",N37)))</formula>
    </cfRule>
    <cfRule type="containsText" dxfId="26" priority="5" operator="containsText" text="Hyvä">
      <formula>NOT(ISERROR(SEARCH("Hyvä",N37)))</formula>
    </cfRule>
    <cfRule type="containsText" dxfId="25" priority="6" operator="containsText" text="Heikko">
      <formula>NOT(ISERROR(SEARCH("Heikko",N37)))</formula>
    </cfRule>
  </conditionalFormatting>
  <conditionalFormatting sqref="N42:S42">
    <cfRule type="containsText" dxfId="24" priority="9" operator="containsText" text="Hyvä">
      <formula>NOT(ISERROR(SEARCH("Hyvä",N42)))</formula>
    </cfRule>
    <cfRule type="containsText" dxfId="23" priority="10" operator="containsText" text="Tyydyttävä">
      <formula>NOT(ISERROR(SEARCH("Tyydyttävä",N42)))</formula>
    </cfRule>
    <cfRule type="containsText" dxfId="22" priority="11" operator="containsText" text="Heikko">
      <formula>NOT(ISERROR(SEARCH("Heikko",N42)))</formula>
    </cfRule>
  </conditionalFormatting>
  <conditionalFormatting sqref="O32:S32">
    <cfRule type="containsText" dxfId="21" priority="33" operator="containsText" text="Hyvä">
      <formula>NOT(ISERROR(SEARCH("Hyvä",O32)))</formula>
    </cfRule>
    <cfRule type="containsText" dxfId="20" priority="34" operator="containsText" text="Tyydyttävä">
      <formula>NOT(ISERROR(SEARCH("Tyydyttävä",O32)))</formula>
    </cfRule>
    <cfRule type="containsText" dxfId="19" priority="35" operator="containsText" text="Heikko">
      <formula>NOT(ISERROR(SEARCH("Heikko",O32)))</formula>
    </cfRule>
  </conditionalFormatting>
  <pageMargins left="0.7" right="0.7" top="0.75" bottom="0.75" header="0.3" footer="0.3"/>
  <pageSetup orientation="portrait" horizontalDpi="1200" verticalDpi="1200" r:id="rId1"/>
  <ignoredErrors>
    <ignoredError sqref="H46:K46 N16:O16 H53:K56 H52:I52 K52 H48:K48 I47:K47 H50:K51 J49:K49" 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9276B-EEF2-4F34-A1B4-C610458279AB}">
  <sheetPr codeName="Taul17"/>
  <dimension ref="B2:BM120"/>
  <sheetViews>
    <sheetView workbookViewId="0">
      <selection activeCell="G9" sqref="G9"/>
    </sheetView>
  </sheetViews>
  <sheetFormatPr defaultColWidth="9.1796875" defaultRowHeight="16" customHeight="1" outlineLevelCol="1" x14ac:dyDescent="0.35"/>
  <cols>
    <col min="1" max="1" width="2.7265625" style="5" customWidth="1"/>
    <col min="2" max="2" width="10.7265625" style="5" customWidth="1"/>
    <col min="3" max="3" width="3.7265625" style="5" customWidth="1"/>
    <col min="4" max="4" width="60.7265625" style="5" customWidth="1"/>
    <col min="5" max="5" width="7.7265625" style="5" customWidth="1"/>
    <col min="6" max="6" width="7.7265625" style="10" customWidth="1"/>
    <col min="7" max="21" width="12.7265625" style="5" customWidth="1"/>
    <col min="22" max="40" width="9.1796875" style="5"/>
    <col min="41" max="41" width="20.7265625" style="5" customWidth="1" outlineLevel="1"/>
    <col min="42" max="65" width="11.7265625" style="5" customWidth="1" outlineLevel="1"/>
    <col min="66" max="16384" width="9.1796875" style="5"/>
  </cols>
  <sheetData>
    <row r="2" spans="2:19" ht="16" customHeight="1" x14ac:dyDescent="0.5">
      <c r="B2" s="822" t="s">
        <v>626</v>
      </c>
      <c r="D2" s="16" t="s">
        <v>595</v>
      </c>
    </row>
    <row r="5" spans="2:19" ht="16" customHeight="1" x14ac:dyDescent="0.35">
      <c r="D5" s="14" t="s">
        <v>867</v>
      </c>
    </row>
    <row r="6" spans="2:19" ht="16" customHeight="1" x14ac:dyDescent="0.45">
      <c r="D6" s="3" t="str">
        <f>'1 INVESTOINTISUUNNITELMA'!D5</f>
        <v>Malliyritys Oy</v>
      </c>
      <c r="G6" s="15" t="s">
        <v>674</v>
      </c>
      <c r="I6" s="404">
        <f>'1 INVESTOINTISUUNNITELMA'!E16</f>
        <v>2026</v>
      </c>
    </row>
    <row r="9" spans="2:19" ht="16" customHeight="1" x14ac:dyDescent="0.35">
      <c r="C9" s="452" t="s">
        <v>373</v>
      </c>
      <c r="D9" s="474"/>
      <c r="E9" s="475"/>
      <c r="F9" s="476" t="s">
        <v>376</v>
      </c>
      <c r="G9" s="959">
        <v>46023</v>
      </c>
      <c r="H9" s="477">
        <f>G9+31</f>
        <v>46054</v>
      </c>
      <c r="I9" s="477">
        <f t="shared" ref="I9:R9" si="0">H9+31</f>
        <v>46085</v>
      </c>
      <c r="J9" s="477">
        <f t="shared" si="0"/>
        <v>46116</v>
      </c>
      <c r="K9" s="477">
        <f t="shared" si="0"/>
        <v>46147</v>
      </c>
      <c r="L9" s="477">
        <f t="shared" si="0"/>
        <v>46178</v>
      </c>
      <c r="M9" s="477">
        <f t="shared" si="0"/>
        <v>46209</v>
      </c>
      <c r="N9" s="477">
        <f t="shared" si="0"/>
        <v>46240</v>
      </c>
      <c r="O9" s="477">
        <f t="shared" si="0"/>
        <v>46271</v>
      </c>
      <c r="P9" s="477">
        <f t="shared" si="0"/>
        <v>46302</v>
      </c>
      <c r="Q9" s="477">
        <f t="shared" si="0"/>
        <v>46333</v>
      </c>
      <c r="R9" s="477">
        <f t="shared" si="0"/>
        <v>46364</v>
      </c>
      <c r="S9" s="457" t="s">
        <v>287</v>
      </c>
    </row>
    <row r="10" spans="2:19" ht="16" customHeight="1" x14ac:dyDescent="0.35">
      <c r="C10" s="1098" t="s">
        <v>275</v>
      </c>
      <c r="D10" s="145" t="s">
        <v>82</v>
      </c>
      <c r="E10" s="145"/>
      <c r="F10" s="142"/>
      <c r="G10" s="151">
        <f>'3 TASE'!H46</f>
        <v>0</v>
      </c>
      <c r="H10" s="661">
        <f>G56</f>
        <v>0</v>
      </c>
      <c r="I10" s="661">
        <f t="shared" ref="I10:R10" si="1">H56</f>
        <v>0</v>
      </c>
      <c r="J10" s="661">
        <f t="shared" si="1"/>
        <v>0</v>
      </c>
      <c r="K10" s="661">
        <f t="shared" si="1"/>
        <v>0</v>
      </c>
      <c r="L10" s="661">
        <f t="shared" si="1"/>
        <v>0</v>
      </c>
      <c r="M10" s="661">
        <f t="shared" si="1"/>
        <v>0</v>
      </c>
      <c r="N10" s="661">
        <f t="shared" si="1"/>
        <v>0</v>
      </c>
      <c r="O10" s="661">
        <f t="shared" si="1"/>
        <v>0</v>
      </c>
      <c r="P10" s="661">
        <f t="shared" si="1"/>
        <v>0</v>
      </c>
      <c r="Q10" s="661">
        <f t="shared" si="1"/>
        <v>0</v>
      </c>
      <c r="R10" s="661">
        <f t="shared" si="1"/>
        <v>0</v>
      </c>
      <c r="S10" s="664"/>
    </row>
    <row r="11" spans="2:19" ht="16" customHeight="1" x14ac:dyDescent="0.35">
      <c r="C11" s="1099"/>
      <c r="D11" s="53" t="s">
        <v>374</v>
      </c>
      <c r="E11" s="53"/>
      <c r="F11" s="142"/>
      <c r="G11" s="864">
        <f>'AT9 Kassa'!C11</f>
        <v>0</v>
      </c>
      <c r="H11" s="864">
        <f>'AT9 Kassa'!D11</f>
        <v>0</v>
      </c>
      <c r="I11" s="864">
        <f>'AT9 Kassa'!E11</f>
        <v>0</v>
      </c>
      <c r="J11" s="864">
        <f>'AT9 Kassa'!F11</f>
        <v>0</v>
      </c>
      <c r="K11" s="864">
        <f>'AT9 Kassa'!G11</f>
        <v>0</v>
      </c>
      <c r="L11" s="864">
        <f>'AT9 Kassa'!H11</f>
        <v>0</v>
      </c>
      <c r="M11" s="661"/>
      <c r="N11" s="661"/>
      <c r="O11" s="661"/>
      <c r="P11" s="661"/>
      <c r="Q11" s="661"/>
      <c r="R11" s="661"/>
      <c r="S11" s="664">
        <f>SUM(G11:R11)</f>
        <v>0</v>
      </c>
    </row>
    <row r="12" spans="2:19" ht="16" customHeight="1" x14ac:dyDescent="0.35">
      <c r="C12" s="53" t="s">
        <v>276</v>
      </c>
      <c r="D12" s="53" t="s">
        <v>377</v>
      </c>
      <c r="E12" s="960">
        <f>'8 RAHOITUSSUUNNITELMA'!H54</f>
        <v>0</v>
      </c>
      <c r="F12" s="960">
        <v>0.255</v>
      </c>
      <c r="G12" s="151">
        <f>G13*$S12</f>
        <v>0</v>
      </c>
      <c r="H12" s="151">
        <f t="shared" ref="H12:R12" si="2">H13*$S12</f>
        <v>0</v>
      </c>
      <c r="I12" s="151">
        <f t="shared" si="2"/>
        <v>0</v>
      </c>
      <c r="J12" s="151">
        <f t="shared" si="2"/>
        <v>0</v>
      </c>
      <c r="K12" s="151">
        <f t="shared" si="2"/>
        <v>0</v>
      </c>
      <c r="L12" s="151">
        <f t="shared" si="2"/>
        <v>0</v>
      </c>
      <c r="M12" s="151">
        <f t="shared" si="2"/>
        <v>0</v>
      </c>
      <c r="N12" s="151">
        <f t="shared" si="2"/>
        <v>0</v>
      </c>
      <c r="O12" s="151">
        <f t="shared" si="2"/>
        <v>0</v>
      </c>
      <c r="P12" s="151">
        <f t="shared" si="2"/>
        <v>0</v>
      </c>
      <c r="Q12" s="151">
        <f t="shared" si="2"/>
        <v>0</v>
      </c>
      <c r="R12" s="151">
        <f t="shared" si="2"/>
        <v>0</v>
      </c>
      <c r="S12" s="664">
        <f>'6 LIIKEVAIHTO'!$G$10*E12+'6 LIIKEVAIHTO'!$G$10*E12*F12</f>
        <v>0</v>
      </c>
    </row>
    <row r="13" spans="2:19" ht="16" customHeight="1" x14ac:dyDescent="0.35">
      <c r="C13" s="53"/>
      <c r="D13" s="143" t="s">
        <v>375</v>
      </c>
      <c r="E13" s="53"/>
      <c r="F13" s="142"/>
      <c r="G13" s="962">
        <v>0.09</v>
      </c>
      <c r="H13" s="962">
        <f>G13</f>
        <v>0.09</v>
      </c>
      <c r="I13" s="962">
        <f t="shared" ref="I13:P13" si="3">H13</f>
        <v>0.09</v>
      </c>
      <c r="J13" s="962">
        <f t="shared" si="3"/>
        <v>0.09</v>
      </c>
      <c r="K13" s="962">
        <f t="shared" si="3"/>
        <v>0.09</v>
      </c>
      <c r="L13" s="962">
        <f t="shared" si="3"/>
        <v>0.09</v>
      </c>
      <c r="M13" s="962">
        <v>0.04</v>
      </c>
      <c r="N13" s="962">
        <v>0.08</v>
      </c>
      <c r="O13" s="962">
        <v>0.09</v>
      </c>
      <c r="P13" s="962">
        <f t="shared" si="3"/>
        <v>0.09</v>
      </c>
      <c r="Q13" s="962">
        <v>0.08</v>
      </c>
      <c r="R13" s="962">
        <v>0.08</v>
      </c>
      <c r="S13" s="665">
        <f>SUM(G13:R13)</f>
        <v>0.99999999999999978</v>
      </c>
    </row>
    <row r="14" spans="2:19" ht="16" customHeight="1" x14ac:dyDescent="0.35">
      <c r="C14" s="53" t="s">
        <v>277</v>
      </c>
      <c r="D14" s="53" t="s">
        <v>378</v>
      </c>
      <c r="E14" s="53"/>
      <c r="F14" s="960">
        <v>0.255</v>
      </c>
      <c r="G14" s="151">
        <f>G15*$S14</f>
        <v>0</v>
      </c>
      <c r="H14" s="151">
        <f>H15*$S14</f>
        <v>0</v>
      </c>
      <c r="I14" s="151">
        <f t="shared" ref="I14:R14" si="4">I15*$S14</f>
        <v>0</v>
      </c>
      <c r="J14" s="151">
        <f t="shared" si="4"/>
        <v>0</v>
      </c>
      <c r="K14" s="151">
        <f t="shared" si="4"/>
        <v>0</v>
      </c>
      <c r="L14" s="151">
        <f t="shared" si="4"/>
        <v>0</v>
      </c>
      <c r="M14" s="151">
        <f t="shared" si="4"/>
        <v>0</v>
      </c>
      <c r="N14" s="151">
        <f t="shared" si="4"/>
        <v>0</v>
      </c>
      <c r="O14" s="151">
        <f t="shared" si="4"/>
        <v>0</v>
      </c>
      <c r="P14" s="151">
        <f t="shared" si="4"/>
        <v>0</v>
      </c>
      <c r="Q14" s="151">
        <f t="shared" si="4"/>
        <v>0</v>
      </c>
      <c r="R14" s="151">
        <f t="shared" si="4"/>
        <v>0</v>
      </c>
      <c r="S14" s="162">
        <f>'6 LIIKEVAIHTO'!$G$10+'6 LIIKEVAIHTO'!$G$10*F14-S12</f>
        <v>0</v>
      </c>
    </row>
    <row r="15" spans="2:19" ht="16" customHeight="1" x14ac:dyDescent="0.35">
      <c r="C15" s="53"/>
      <c r="D15" s="143" t="s">
        <v>375</v>
      </c>
      <c r="E15" s="53"/>
      <c r="F15" s="142"/>
      <c r="G15" s="962">
        <v>0.09</v>
      </c>
      <c r="H15" s="962">
        <f>G15</f>
        <v>0.09</v>
      </c>
      <c r="I15" s="962">
        <f t="shared" ref="I15:P15" si="5">H15</f>
        <v>0.09</v>
      </c>
      <c r="J15" s="962">
        <f t="shared" si="5"/>
        <v>0.09</v>
      </c>
      <c r="K15" s="962">
        <f t="shared" si="5"/>
        <v>0.09</v>
      </c>
      <c r="L15" s="962">
        <f t="shared" si="5"/>
        <v>0.09</v>
      </c>
      <c r="M15" s="962">
        <v>0.04</v>
      </c>
      <c r="N15" s="962">
        <v>0.08</v>
      </c>
      <c r="O15" s="962">
        <v>0.09</v>
      </c>
      <c r="P15" s="962">
        <f t="shared" si="5"/>
        <v>0.09</v>
      </c>
      <c r="Q15" s="962">
        <v>0.08</v>
      </c>
      <c r="R15" s="962">
        <v>0.08</v>
      </c>
      <c r="S15" s="665">
        <f>SUM(G15:R15)</f>
        <v>0.99999999999999978</v>
      </c>
    </row>
    <row r="16" spans="2:19" ht="16" customHeight="1" x14ac:dyDescent="0.35">
      <c r="C16" s="53"/>
      <c r="D16" s="143" t="s">
        <v>379</v>
      </c>
      <c r="E16" s="961">
        <f>'8 RAHOITUSSUUNNITELMA'!H47</f>
        <v>0</v>
      </c>
      <c r="F16" s="142"/>
      <c r="G16" s="151">
        <f>'AT9 Kassa'!C35</f>
        <v>0</v>
      </c>
      <c r="H16" s="355">
        <f>'AT9 Kassa'!D35</f>
        <v>0</v>
      </c>
      <c r="I16" s="355">
        <f>'AT9 Kassa'!E35</f>
        <v>0</v>
      </c>
      <c r="J16" s="355">
        <f>'AT9 Kassa'!F35</f>
        <v>0</v>
      </c>
      <c r="K16" s="355">
        <f>'AT9 Kassa'!G35</f>
        <v>0</v>
      </c>
      <c r="L16" s="355">
        <f>'AT9 Kassa'!H35</f>
        <v>0</v>
      </c>
      <c r="M16" s="355">
        <f>'AT9 Kassa'!I35</f>
        <v>0</v>
      </c>
      <c r="N16" s="355">
        <f>'AT9 Kassa'!J35</f>
        <v>0</v>
      </c>
      <c r="O16" s="355">
        <f>'AT9 Kassa'!K35</f>
        <v>0</v>
      </c>
      <c r="P16" s="355">
        <f>'AT9 Kassa'!L35</f>
        <v>0</v>
      </c>
      <c r="Q16" s="355">
        <f>'AT9 Kassa'!M35</f>
        <v>0</v>
      </c>
      <c r="R16" s="355">
        <f>'AT9 Kassa'!N35</f>
        <v>0</v>
      </c>
      <c r="S16" s="664">
        <f>SUM(G16:R16)</f>
        <v>0</v>
      </c>
    </row>
    <row r="17" spans="3:65" ht="16" customHeight="1" x14ac:dyDescent="0.35">
      <c r="C17" s="53" t="s">
        <v>278</v>
      </c>
      <c r="D17" s="910" t="s">
        <v>380</v>
      </c>
      <c r="E17" s="53"/>
      <c r="F17" s="960">
        <v>0.255</v>
      </c>
      <c r="G17" s="864">
        <f>('2 &amp; 7 TULOSSUUNNITELMA'!$J$12/12+'2 &amp; 7 TULOSSUUNNITELMA'!$J$12/12*'9 KASSABUDJETTI'!$F$17)</f>
        <v>0</v>
      </c>
      <c r="H17" s="963">
        <f>('2 &amp; 7 TULOSSUUNNITELMA'!$J$12/12+'2 &amp; 7 TULOSSUUNNITELMA'!$J$12/12*'9 KASSABUDJETTI'!$F$17)</f>
        <v>0</v>
      </c>
      <c r="I17" s="963">
        <f>('2 &amp; 7 TULOSSUUNNITELMA'!$J$12/12+'2 &amp; 7 TULOSSUUNNITELMA'!$J$12/12*'9 KASSABUDJETTI'!$F$17)</f>
        <v>0</v>
      </c>
      <c r="J17" s="963">
        <f>('2 &amp; 7 TULOSSUUNNITELMA'!$J$12/12+'2 &amp; 7 TULOSSUUNNITELMA'!$J$12/12*'9 KASSABUDJETTI'!$F$17)</f>
        <v>0</v>
      </c>
      <c r="K17" s="963">
        <f>('2 &amp; 7 TULOSSUUNNITELMA'!$J$12/12+'2 &amp; 7 TULOSSUUNNITELMA'!$J$12/12*'9 KASSABUDJETTI'!$F$17)</f>
        <v>0</v>
      </c>
      <c r="L17" s="963">
        <f>('2 &amp; 7 TULOSSUUNNITELMA'!$J$12/12+'2 &amp; 7 TULOSSUUNNITELMA'!$J$12/12*'9 KASSABUDJETTI'!$F$17)</f>
        <v>0</v>
      </c>
      <c r="M17" s="963">
        <f>('2 &amp; 7 TULOSSUUNNITELMA'!$J$12/12+'2 &amp; 7 TULOSSUUNNITELMA'!$J$12/12*'9 KASSABUDJETTI'!$F$17)</f>
        <v>0</v>
      </c>
      <c r="N17" s="963">
        <f>('2 &amp; 7 TULOSSUUNNITELMA'!$J$12/12+'2 &amp; 7 TULOSSUUNNITELMA'!$J$12/12*'9 KASSABUDJETTI'!$F$17)</f>
        <v>0</v>
      </c>
      <c r="O17" s="963">
        <f>('2 &amp; 7 TULOSSUUNNITELMA'!$J$12/12+'2 &amp; 7 TULOSSUUNNITELMA'!$J$12/12*'9 KASSABUDJETTI'!$F$17)</f>
        <v>0</v>
      </c>
      <c r="P17" s="963">
        <f>('2 &amp; 7 TULOSSUUNNITELMA'!$J$12/12+'2 &amp; 7 TULOSSUUNNITELMA'!$J$12/12*'9 KASSABUDJETTI'!$F$17)</f>
        <v>0</v>
      </c>
      <c r="Q17" s="963">
        <f>('2 &amp; 7 TULOSSUUNNITELMA'!$J$12/12+'2 &amp; 7 TULOSSUUNNITELMA'!$J$12/12*'9 KASSABUDJETTI'!$F$17)</f>
        <v>0</v>
      </c>
      <c r="R17" s="963">
        <f>('2 &amp; 7 TULOSSUUNNITELMA'!$J$12/12+'2 &amp; 7 TULOSSUUNNITELMA'!$J$12/12*'9 KASSABUDJETTI'!$F$17)</f>
        <v>0</v>
      </c>
      <c r="S17" s="664">
        <f>SUM(G17:R17)</f>
        <v>0</v>
      </c>
    </row>
    <row r="18" spans="3:65" ht="16" customHeight="1" thickBot="1" x14ac:dyDescent="0.4">
      <c r="C18" s="103" t="s">
        <v>279</v>
      </c>
      <c r="D18" s="103" t="s">
        <v>381</v>
      </c>
      <c r="E18" s="103"/>
      <c r="F18" s="159"/>
      <c r="G18" s="867">
        <f>'5 KUSTANNUKSET'!$G$30/12</f>
        <v>0</v>
      </c>
      <c r="H18" s="964">
        <f>'5 KUSTANNUKSET'!$G$30/12</f>
        <v>0</v>
      </c>
      <c r="I18" s="964">
        <f>'5 KUSTANNUKSET'!$G$30/12</f>
        <v>0</v>
      </c>
      <c r="J18" s="964">
        <f>'5 KUSTANNUKSET'!$G$30/12</f>
        <v>0</v>
      </c>
      <c r="K18" s="964">
        <f>'5 KUSTANNUKSET'!$G$30/12</f>
        <v>0</v>
      </c>
      <c r="L18" s="964">
        <f>'5 KUSTANNUKSET'!$G$30/12</f>
        <v>0</v>
      </c>
      <c r="M18" s="964">
        <f>'5 KUSTANNUKSET'!$G$30/12+'1 INVESTOINTISUUNNITELMA'!$E$61</f>
        <v>0</v>
      </c>
      <c r="N18" s="964">
        <f>'5 KUSTANNUKSET'!$G$30/12</f>
        <v>0</v>
      </c>
      <c r="O18" s="964">
        <f>'5 KUSTANNUKSET'!$G$30/12</f>
        <v>0</v>
      </c>
      <c r="P18" s="964">
        <f>'5 KUSTANNUKSET'!$G$30/12</f>
        <v>0</v>
      </c>
      <c r="Q18" s="964">
        <f>'5 KUSTANNUKSET'!$G$30/12</f>
        <v>0</v>
      </c>
      <c r="R18" s="964">
        <f>'5 KUSTANNUKSET'!$G$30/12</f>
        <v>0</v>
      </c>
      <c r="S18" s="666">
        <f>SUM(G18:R18)</f>
        <v>0</v>
      </c>
      <c r="U18" s="1100" t="s">
        <v>638</v>
      </c>
    </row>
    <row r="19" spans="3:65" ht="16" customHeight="1" thickTop="1" x14ac:dyDescent="0.35">
      <c r="C19" s="145"/>
      <c r="D19" s="157" t="s">
        <v>382</v>
      </c>
      <c r="E19" s="145"/>
      <c r="F19" s="158"/>
      <c r="G19" s="337">
        <f>G12+G16+G18+G17</f>
        <v>0</v>
      </c>
      <c r="H19" s="337">
        <f t="shared" ref="H19:R19" si="6">H12+H16+H18+H17</f>
        <v>0</v>
      </c>
      <c r="I19" s="337">
        <f t="shared" si="6"/>
        <v>0</v>
      </c>
      <c r="J19" s="337">
        <f t="shared" si="6"/>
        <v>0</v>
      </c>
      <c r="K19" s="337">
        <f t="shared" si="6"/>
        <v>0</v>
      </c>
      <c r="L19" s="337">
        <f t="shared" si="6"/>
        <v>0</v>
      </c>
      <c r="M19" s="337">
        <f t="shared" si="6"/>
        <v>0</v>
      </c>
      <c r="N19" s="337">
        <f t="shared" si="6"/>
        <v>0</v>
      </c>
      <c r="O19" s="337">
        <f t="shared" si="6"/>
        <v>0</v>
      </c>
      <c r="P19" s="337">
        <f t="shared" si="6"/>
        <v>0</v>
      </c>
      <c r="Q19" s="337">
        <f t="shared" si="6"/>
        <v>0</v>
      </c>
      <c r="R19" s="337">
        <f t="shared" si="6"/>
        <v>0</v>
      </c>
      <c r="S19" s="337">
        <f>SUM(G19:R19)</f>
        <v>0</v>
      </c>
      <c r="U19" s="1101"/>
      <c r="AP19" s="1003" t="s">
        <v>640</v>
      </c>
      <c r="AQ19" s="1004"/>
      <c r="AR19" s="1004"/>
      <c r="AS19" s="1004"/>
      <c r="AT19" s="1004"/>
      <c r="AU19" s="1004"/>
      <c r="AV19" s="1005"/>
      <c r="AW19" s="1003" t="s">
        <v>646</v>
      </c>
      <c r="AX19" s="1004"/>
      <c r="AY19" s="1004"/>
      <c r="AZ19" s="1004"/>
      <c r="BA19" s="1004"/>
      <c r="BB19" s="1004"/>
      <c r="BC19" s="1005"/>
      <c r="BD19" s="1003" t="s">
        <v>647</v>
      </c>
      <c r="BE19" s="1004"/>
      <c r="BF19" s="1004"/>
      <c r="BG19" s="1004"/>
      <c r="BH19" s="1004"/>
      <c r="BI19" s="1004"/>
      <c r="BJ19" s="1005"/>
      <c r="BK19" s="1110" t="s">
        <v>287</v>
      </c>
      <c r="BL19" s="1110"/>
      <c r="BM19" s="1110"/>
    </row>
    <row r="20" spans="3:65" ht="8.15" customHeight="1" x14ac:dyDescent="0.35">
      <c r="U20" s="1101"/>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row>
    <row r="21" spans="3:65" ht="16" customHeight="1" x14ac:dyDescent="0.35">
      <c r="C21" s="452" t="s">
        <v>383</v>
      </c>
      <c r="D21" s="474"/>
      <c r="E21" s="475"/>
      <c r="F21" s="476" t="s">
        <v>376</v>
      </c>
      <c r="G21" s="477">
        <f>G9</f>
        <v>46023</v>
      </c>
      <c r="H21" s="477">
        <f t="shared" ref="H21:R21" si="7">H9</f>
        <v>46054</v>
      </c>
      <c r="I21" s="477">
        <f t="shared" si="7"/>
        <v>46085</v>
      </c>
      <c r="J21" s="477">
        <f t="shared" si="7"/>
        <v>46116</v>
      </c>
      <c r="K21" s="477">
        <f t="shared" si="7"/>
        <v>46147</v>
      </c>
      <c r="L21" s="477">
        <f t="shared" si="7"/>
        <v>46178</v>
      </c>
      <c r="M21" s="477">
        <f t="shared" si="7"/>
        <v>46209</v>
      </c>
      <c r="N21" s="477">
        <f t="shared" si="7"/>
        <v>46240</v>
      </c>
      <c r="O21" s="477">
        <f t="shared" si="7"/>
        <v>46271</v>
      </c>
      <c r="P21" s="477">
        <f t="shared" si="7"/>
        <v>46302</v>
      </c>
      <c r="Q21" s="477">
        <f t="shared" si="7"/>
        <v>46333</v>
      </c>
      <c r="R21" s="477">
        <f t="shared" si="7"/>
        <v>46364</v>
      </c>
      <c r="S21" s="457" t="s">
        <v>287</v>
      </c>
      <c r="T21" s="478" t="s">
        <v>637</v>
      </c>
      <c r="U21" s="1102"/>
      <c r="AP21" s="1105" t="s">
        <v>641</v>
      </c>
      <c r="AQ21" s="1107" t="s">
        <v>639</v>
      </c>
      <c r="AR21" s="1103" t="s">
        <v>644</v>
      </c>
      <c r="AS21" s="1107" t="s">
        <v>642</v>
      </c>
      <c r="AT21" s="1103" t="s">
        <v>645</v>
      </c>
      <c r="AU21" s="1107" t="s">
        <v>643</v>
      </c>
      <c r="AV21" s="1108" t="s">
        <v>391</v>
      </c>
      <c r="AW21" s="1105" t="s">
        <v>641</v>
      </c>
      <c r="AX21" s="1107" t="s">
        <v>639</v>
      </c>
      <c r="AY21" s="1103" t="s">
        <v>644</v>
      </c>
      <c r="AZ21" s="1107" t="s">
        <v>642</v>
      </c>
      <c r="BA21" s="1103" t="s">
        <v>645</v>
      </c>
      <c r="BB21" s="1107" t="s">
        <v>643</v>
      </c>
      <c r="BC21" s="1108" t="s">
        <v>391</v>
      </c>
      <c r="BD21" s="1105" t="s">
        <v>641</v>
      </c>
      <c r="BE21" s="1107" t="s">
        <v>639</v>
      </c>
      <c r="BF21" s="1103" t="s">
        <v>644</v>
      </c>
      <c r="BG21" s="1107" t="s">
        <v>642</v>
      </c>
      <c r="BH21" s="1103" t="s">
        <v>645</v>
      </c>
      <c r="BI21" s="1107" t="s">
        <v>643</v>
      </c>
      <c r="BJ21" s="1111" t="s">
        <v>391</v>
      </c>
      <c r="BK21" s="1113" t="s">
        <v>645</v>
      </c>
      <c r="BL21" s="1107" t="s">
        <v>643</v>
      </c>
      <c r="BM21" s="1108" t="s">
        <v>391</v>
      </c>
    </row>
    <row r="22" spans="3:65" ht="16" customHeight="1" x14ac:dyDescent="0.35">
      <c r="C22" s="1099" t="s">
        <v>285</v>
      </c>
      <c r="D22" s="53" t="s">
        <v>384</v>
      </c>
      <c r="E22" s="53"/>
      <c r="F22" s="960">
        <v>0.255</v>
      </c>
      <c r="G22" s="864">
        <f>IF(($S$12+$S$14)*$U$22=0,0,(G12+G14)/($S$12+$S$14)*$U$22)</f>
        <v>0</v>
      </c>
      <c r="H22" s="864">
        <f>IF(($S$12+$S$14)*$U$22=0,0,(H12+H14)/($S$12+$S$14)*$U$22)</f>
        <v>0</v>
      </c>
      <c r="I22" s="864">
        <f t="shared" ref="I22:Q22" si="8">IF(($S$12+$S$14)*$U$22=0,0,(I12+I14)/($S$12+$S$14)*$U$22)</f>
        <v>0</v>
      </c>
      <c r="J22" s="864">
        <f t="shared" si="8"/>
        <v>0</v>
      </c>
      <c r="K22" s="864">
        <f t="shared" si="8"/>
        <v>0</v>
      </c>
      <c r="L22" s="864">
        <f t="shared" si="8"/>
        <v>0</v>
      </c>
      <c r="M22" s="864">
        <f t="shared" si="8"/>
        <v>0</v>
      </c>
      <c r="N22" s="864">
        <f t="shared" si="8"/>
        <v>0</v>
      </c>
      <c r="O22" s="864">
        <f t="shared" si="8"/>
        <v>0</v>
      </c>
      <c r="P22" s="864">
        <f t="shared" si="8"/>
        <v>0</v>
      </c>
      <c r="Q22" s="864">
        <f t="shared" si="8"/>
        <v>0</v>
      </c>
      <c r="R22" s="864">
        <f>IF(($S$12+$S$14)*$U$22=0,0,(R12+R14)/($S$12+$S$14)*$U$22)</f>
        <v>0</v>
      </c>
      <c r="S22" s="664">
        <f>SUM(G22:R22)</f>
        <v>0</v>
      </c>
      <c r="T22" s="151">
        <f>U22-S22</f>
        <v>0</v>
      </c>
      <c r="U22" s="661">
        <f>-'2 &amp; 7 TULOSSUUNNITELMA'!J15-'2 &amp; 7 TULOSSUUNNITELMA'!J15*F22-'1 INVESTOINTISUUNNITELMA'!E40</f>
        <v>0</v>
      </c>
      <c r="AP22" s="1106"/>
      <c r="AQ22" s="1104"/>
      <c r="AR22" s="1104"/>
      <c r="AS22" s="1104"/>
      <c r="AT22" s="1104"/>
      <c r="AU22" s="1104"/>
      <c r="AV22" s="1109"/>
      <c r="AW22" s="1106"/>
      <c r="AX22" s="1104"/>
      <c r="AY22" s="1104"/>
      <c r="AZ22" s="1104"/>
      <c r="BA22" s="1104"/>
      <c r="BB22" s="1104"/>
      <c r="BC22" s="1109"/>
      <c r="BD22" s="1106"/>
      <c r="BE22" s="1104"/>
      <c r="BF22" s="1104"/>
      <c r="BG22" s="1104"/>
      <c r="BH22" s="1104"/>
      <c r="BI22" s="1104"/>
      <c r="BJ22" s="1112"/>
      <c r="BK22" s="1106"/>
      <c r="BL22" s="1104"/>
      <c r="BM22" s="1109"/>
    </row>
    <row r="23" spans="3:65" ht="16" customHeight="1" x14ac:dyDescent="0.35">
      <c r="C23" s="1099"/>
      <c r="D23" s="53" t="s">
        <v>385</v>
      </c>
      <c r="E23" s="961">
        <f>'8 RAHOITUSSUUNNITELMA'!H52</f>
        <v>0</v>
      </c>
      <c r="F23" s="142"/>
      <c r="G23" s="869">
        <f>'AT9 Kassa'!Q8</f>
        <v>0</v>
      </c>
      <c r="H23" s="869">
        <f>'AT9 Kassa'!R8</f>
        <v>0</v>
      </c>
      <c r="I23" s="869">
        <f>'AT9 Kassa'!S8</f>
        <v>0</v>
      </c>
      <c r="J23" s="661"/>
      <c r="K23" s="661"/>
      <c r="L23" s="661"/>
      <c r="M23" s="661"/>
      <c r="N23" s="661"/>
      <c r="O23" s="661"/>
      <c r="P23" s="661"/>
      <c r="Q23" s="661"/>
      <c r="R23" s="661"/>
      <c r="S23" s="664">
        <f t="shared" ref="S23:S25" si="9">SUM(G23:R23)</f>
        <v>0</v>
      </c>
      <c r="T23" s="129"/>
      <c r="U23" s="129"/>
      <c r="AP23" s="301"/>
      <c r="AQ23" s="302"/>
      <c r="AR23" s="302"/>
      <c r="AS23" s="302"/>
      <c r="AT23" s="302"/>
      <c r="AU23" s="302"/>
      <c r="AV23" s="303"/>
      <c r="AW23" s="301"/>
      <c r="AX23" s="302"/>
      <c r="AY23" s="302"/>
      <c r="AZ23" s="302"/>
      <c r="BA23" s="302"/>
      <c r="BB23" s="302"/>
      <c r="BC23" s="303"/>
      <c r="BD23" s="301"/>
      <c r="BE23" s="302"/>
      <c r="BF23" s="302"/>
      <c r="BG23" s="302"/>
      <c r="BH23" s="302"/>
      <c r="BI23" s="302"/>
      <c r="BJ23" s="304"/>
      <c r="BK23" s="301"/>
      <c r="BL23" s="302"/>
      <c r="BM23" s="303"/>
    </row>
    <row r="24" spans="3:65" ht="16" customHeight="1" x14ac:dyDescent="0.35">
      <c r="C24" s="328" t="s">
        <v>672</v>
      </c>
      <c r="D24" s="53" t="s">
        <v>671</v>
      </c>
      <c r="E24" s="338"/>
      <c r="F24" s="294"/>
      <c r="G24" s="869"/>
      <c r="H24" s="864"/>
      <c r="I24" s="864"/>
      <c r="J24" s="864"/>
      <c r="K24" s="864"/>
      <c r="L24" s="864"/>
      <c r="M24" s="864"/>
      <c r="N24" s="864"/>
      <c r="O24" s="864"/>
      <c r="P24" s="864"/>
      <c r="Q24" s="864"/>
      <c r="R24" s="864"/>
      <c r="S24" s="664">
        <f t="shared" si="9"/>
        <v>0</v>
      </c>
      <c r="T24" s="129"/>
      <c r="U24" s="129"/>
      <c r="AP24" s="301"/>
      <c r="AQ24" s="302"/>
      <c r="AR24" s="302"/>
      <c r="AS24" s="302"/>
      <c r="AT24" s="302"/>
      <c r="AU24" s="302"/>
      <c r="AV24" s="303"/>
      <c r="AW24" s="301"/>
      <c r="AX24" s="302"/>
      <c r="AY24" s="302"/>
      <c r="AZ24" s="302"/>
      <c r="BA24" s="302"/>
      <c r="BB24" s="302"/>
      <c r="BC24" s="303"/>
      <c r="BD24" s="301"/>
      <c r="BE24" s="302"/>
      <c r="BF24" s="302"/>
      <c r="BG24" s="302"/>
      <c r="BH24" s="302"/>
      <c r="BI24" s="302"/>
      <c r="BJ24" s="304"/>
      <c r="BK24" s="301"/>
      <c r="BL24" s="302"/>
      <c r="BM24" s="303"/>
    </row>
    <row r="25" spans="3:65" ht="16" customHeight="1" x14ac:dyDescent="0.35">
      <c r="C25" s="53" t="s">
        <v>673</v>
      </c>
      <c r="D25" s="53" t="s">
        <v>210</v>
      </c>
      <c r="E25" s="53"/>
      <c r="F25" s="960">
        <v>0.255</v>
      </c>
      <c r="G25" s="864">
        <f>$U$25/12</f>
        <v>0</v>
      </c>
      <c r="H25" s="864">
        <f t="shared" ref="H25:R25" si="10">$U$25/12</f>
        <v>0</v>
      </c>
      <c r="I25" s="864">
        <f t="shared" si="10"/>
        <v>0</v>
      </c>
      <c r="J25" s="864">
        <f t="shared" si="10"/>
        <v>0</v>
      </c>
      <c r="K25" s="864">
        <f t="shared" si="10"/>
        <v>0</v>
      </c>
      <c r="L25" s="864">
        <f t="shared" si="10"/>
        <v>0</v>
      </c>
      <c r="M25" s="864">
        <f t="shared" si="10"/>
        <v>0</v>
      </c>
      <c r="N25" s="864">
        <f t="shared" si="10"/>
        <v>0</v>
      </c>
      <c r="O25" s="864">
        <f t="shared" si="10"/>
        <v>0</v>
      </c>
      <c r="P25" s="864">
        <f t="shared" si="10"/>
        <v>0</v>
      </c>
      <c r="Q25" s="864">
        <f t="shared" si="10"/>
        <v>0</v>
      </c>
      <c r="R25" s="864">
        <f t="shared" si="10"/>
        <v>0</v>
      </c>
      <c r="S25" s="664">
        <f t="shared" si="9"/>
        <v>0</v>
      </c>
      <c r="T25" s="151">
        <f>U25-S25</f>
        <v>0</v>
      </c>
      <c r="U25" s="661">
        <f>-('2 &amp; 7 TULOSSUUNNITELMA'!J16+'2 &amp; 7 TULOSSUUNNITELMA'!J16*'9 KASSABUDJETTI'!F25)</f>
        <v>0</v>
      </c>
      <c r="AP25" s="305"/>
      <c r="AQ25" s="306"/>
      <c r="AR25" s="306"/>
      <c r="AS25" s="306"/>
      <c r="AT25" s="966">
        <v>1.9099999999999999E-2</v>
      </c>
      <c r="AU25" s="307"/>
      <c r="AV25" s="308"/>
      <c r="AW25" s="305"/>
      <c r="AX25" s="306"/>
      <c r="AY25" s="306"/>
      <c r="AZ25" s="306"/>
      <c r="BA25" s="296">
        <f>AT25</f>
        <v>1.9099999999999999E-2</v>
      </c>
      <c r="BB25" s="966">
        <v>8.1900000000000001E-2</v>
      </c>
      <c r="BC25" s="308"/>
      <c r="BD25" s="305"/>
      <c r="BE25" s="306"/>
      <c r="BF25" s="306"/>
      <c r="BG25" s="306"/>
      <c r="BH25" s="296">
        <f>BA25</f>
        <v>1.9099999999999999E-2</v>
      </c>
      <c r="BI25" s="296">
        <f>BB25</f>
        <v>8.1900000000000001E-2</v>
      </c>
      <c r="BJ25" s="309"/>
      <c r="BK25" s="305"/>
      <c r="BL25" s="296">
        <f>BB25</f>
        <v>8.1900000000000001E-2</v>
      </c>
      <c r="BM25" s="308"/>
    </row>
    <row r="26" spans="3:65" ht="16" customHeight="1" x14ac:dyDescent="0.35">
      <c r="C26" s="53" t="s">
        <v>289</v>
      </c>
      <c r="D26" s="53" t="s">
        <v>386</v>
      </c>
      <c r="E26" s="53"/>
      <c r="F26" s="960">
        <v>0.255</v>
      </c>
      <c r="G26" s="864">
        <f>'1 INVESTOINTISUUNNITELMA'!E20+'1 INVESTOINTISUUNNITELMA'!E27+'1 INVESTOINTISUUNNITELMA'!E32+IF('1 INVESTOINTISUUNNITELMA'!E36=0,0,'1 INVESTOINTISUUNNITELMA'!E35)</f>
        <v>0</v>
      </c>
      <c r="H26" s="864"/>
      <c r="I26" s="864"/>
      <c r="J26" s="864"/>
      <c r="K26" s="864"/>
      <c r="L26" s="864"/>
      <c r="M26" s="864"/>
      <c r="N26" s="864"/>
      <c r="O26" s="864"/>
      <c r="P26" s="864"/>
      <c r="Q26" s="864"/>
      <c r="R26" s="864"/>
      <c r="S26" s="664">
        <f t="shared" ref="S26:S43" si="11">SUM(G26:R26)</f>
        <v>0</v>
      </c>
      <c r="T26" s="129"/>
      <c r="U26" s="129"/>
      <c r="AO26" s="304" t="s">
        <v>648</v>
      </c>
      <c r="AP26" s="310">
        <f>'5 KUSTANNUKSET'!G12</f>
        <v>0</v>
      </c>
      <c r="AQ26" s="311">
        <f>'5 KUSTANNUKSET'!G14*'5 KUSTANNUKSET'!G15</f>
        <v>0</v>
      </c>
      <c r="AR26" s="311">
        <f>AP26+AQ26</f>
        <v>0</v>
      </c>
      <c r="AS26" s="312">
        <f>'5 KUSTANNUKSET'!$G$16</f>
        <v>0.28999999999999998</v>
      </c>
      <c r="AT26" s="313">
        <f>(AS26+$AT$25)*AR26</f>
        <v>0</v>
      </c>
      <c r="AU26" s="313"/>
      <c r="AV26" s="314">
        <f>AP26-AR26*AS26</f>
        <v>0</v>
      </c>
      <c r="AW26" s="310">
        <f>'5 KUSTANNUKSET'!G17</f>
        <v>0</v>
      </c>
      <c r="AX26" s="311">
        <f>'5 KUSTANNUKSET'!G22</f>
        <v>0</v>
      </c>
      <c r="AY26" s="311">
        <f>AW26+AX26</f>
        <v>0</v>
      </c>
      <c r="AZ26" s="312">
        <f>'5 KUSTANNUKSET'!$G$23</f>
        <v>0.2</v>
      </c>
      <c r="BA26" s="313">
        <f>(AZ26+$BA$25)*AY26</f>
        <v>0</v>
      </c>
      <c r="BB26" s="313">
        <f>AY26*BB25</f>
        <v>0</v>
      </c>
      <c r="BC26" s="314">
        <f>AW26-AY26*AZ26-BB26</f>
        <v>0</v>
      </c>
      <c r="BD26" s="310">
        <f>'5 KUSTANNUKSET'!G24</f>
        <v>0</v>
      </c>
      <c r="BE26" s="311">
        <f>'5 KUSTANNUKSET'!G28</f>
        <v>0</v>
      </c>
      <c r="BF26" s="311">
        <f>BD26+BE26</f>
        <v>0</v>
      </c>
      <c r="BG26" s="312">
        <f>'5 KUSTANNUKSET'!$G$29</f>
        <v>0.25</v>
      </c>
      <c r="BH26" s="313">
        <f>(BG26+$BH$25)*BF26</f>
        <v>0</v>
      </c>
      <c r="BI26" s="313">
        <f>BF26*BI25</f>
        <v>0</v>
      </c>
      <c r="BJ26" s="315">
        <f>BD26-BF26*BG26-BI26</f>
        <v>0</v>
      </c>
      <c r="BK26" s="316">
        <f t="shared" ref="BK26:BM27" si="12">AT26+BA26+BH26</f>
        <v>0</v>
      </c>
      <c r="BL26" s="311">
        <f t="shared" si="12"/>
        <v>0</v>
      </c>
      <c r="BM26" s="314">
        <f t="shared" si="12"/>
        <v>0</v>
      </c>
    </row>
    <row r="27" spans="3:65" ht="16" customHeight="1" x14ac:dyDescent="0.35">
      <c r="C27" s="53" t="s">
        <v>290</v>
      </c>
      <c r="D27" s="53" t="s">
        <v>387</v>
      </c>
      <c r="E27" s="53"/>
      <c r="F27" s="960">
        <v>0.255</v>
      </c>
      <c r="G27" s="864">
        <f>$U$27/12</f>
        <v>0</v>
      </c>
      <c r="H27" s="864">
        <f t="shared" ref="H27:R27" si="13">$U$27/12</f>
        <v>0</v>
      </c>
      <c r="I27" s="864">
        <f t="shared" si="13"/>
        <v>0</v>
      </c>
      <c r="J27" s="864">
        <f t="shared" si="13"/>
        <v>0</v>
      </c>
      <c r="K27" s="864">
        <f t="shared" si="13"/>
        <v>0</v>
      </c>
      <c r="L27" s="864">
        <f t="shared" si="13"/>
        <v>0</v>
      </c>
      <c r="M27" s="864">
        <f t="shared" si="13"/>
        <v>0</v>
      </c>
      <c r="N27" s="864">
        <f t="shared" si="13"/>
        <v>0</v>
      </c>
      <c r="O27" s="864">
        <f t="shared" si="13"/>
        <v>0</v>
      </c>
      <c r="P27" s="864">
        <f t="shared" si="13"/>
        <v>0</v>
      </c>
      <c r="Q27" s="864">
        <f t="shared" si="13"/>
        <v>0</v>
      </c>
      <c r="R27" s="864">
        <f t="shared" si="13"/>
        <v>0</v>
      </c>
      <c r="S27" s="664">
        <f t="shared" si="11"/>
        <v>0</v>
      </c>
      <c r="T27" s="151">
        <f>U27-S27</f>
        <v>0</v>
      </c>
      <c r="U27" s="661">
        <f>'5 KUSTANNUKSET'!G53+'5 KUSTANNUKSET'!G53*'9 KASSABUDJETTI'!F27</f>
        <v>0</v>
      </c>
      <c r="AO27" s="304" t="s">
        <v>649</v>
      </c>
      <c r="AP27" s="310">
        <f>'5 KUSTANNUKSET'!I12</f>
        <v>0</v>
      </c>
      <c r="AQ27" s="311">
        <f>'5 KUSTANNUKSET'!I14*'5 KUSTANNUKSET'!I15</f>
        <v>0</v>
      </c>
      <c r="AR27" s="311">
        <f>AP27+AQ27</f>
        <v>0</v>
      </c>
      <c r="AS27" s="312">
        <f>'5 KUSTANNUKSET'!$I$16</f>
        <v>0.28999999999999998</v>
      </c>
      <c r="AT27" s="313">
        <f>(AS27+$AT$25)*AR27</f>
        <v>0</v>
      </c>
      <c r="AU27" s="313"/>
      <c r="AV27" s="314">
        <f>AP27-AR27*AS27</f>
        <v>0</v>
      </c>
      <c r="AW27" s="310">
        <f>'5 KUSTANNUKSET'!I17</f>
        <v>0</v>
      </c>
      <c r="AX27" s="311">
        <f>'5 KUSTANNUKSET'!I22</f>
        <v>0</v>
      </c>
      <c r="AY27" s="311">
        <f>AW27+AX27</f>
        <v>0</v>
      </c>
      <c r="AZ27" s="312">
        <f>'5 KUSTANNUKSET'!$I$23</f>
        <v>0.2</v>
      </c>
      <c r="BA27" s="313">
        <f>(AZ27+$BA$25)*AY27</f>
        <v>0</v>
      </c>
      <c r="BB27" s="313">
        <f>AY27*BB25</f>
        <v>0</v>
      </c>
      <c r="BC27" s="314">
        <f>AW27-AY27*AZ27-BB27</f>
        <v>0</v>
      </c>
      <c r="BD27" s="310">
        <f>'5 KUSTANNUKSET'!I24</f>
        <v>0</v>
      </c>
      <c r="BE27" s="311">
        <f>'5 KUSTANNUKSET'!I28</f>
        <v>0</v>
      </c>
      <c r="BF27" s="311">
        <f>BD27+BE27</f>
        <v>0</v>
      </c>
      <c r="BG27" s="312">
        <f>'5 KUSTANNUKSET'!$I$29</f>
        <v>0.25</v>
      </c>
      <c r="BH27" s="313">
        <f>(BG27+$BH$25)*BF27</f>
        <v>0</v>
      </c>
      <c r="BI27" s="313">
        <f>BF27*BI25</f>
        <v>0</v>
      </c>
      <c r="BJ27" s="315">
        <f>BD27-BF27*BG27-BI27</f>
        <v>0</v>
      </c>
      <c r="BK27" s="316">
        <f t="shared" si="12"/>
        <v>0</v>
      </c>
      <c r="BL27" s="311">
        <f t="shared" si="12"/>
        <v>0</v>
      </c>
      <c r="BM27" s="314">
        <f t="shared" si="12"/>
        <v>0</v>
      </c>
    </row>
    <row r="28" spans="3:65" ht="16" customHeight="1" x14ac:dyDescent="0.35">
      <c r="C28" s="53" t="s">
        <v>291</v>
      </c>
      <c r="D28" s="53" t="s">
        <v>388</v>
      </c>
      <c r="E28" s="53"/>
      <c r="F28" s="960">
        <v>0.255</v>
      </c>
      <c r="G28" s="864">
        <f>$U$28/12</f>
        <v>0</v>
      </c>
      <c r="H28" s="864">
        <f t="shared" ref="H28:Q28" si="14">$U$28/12</f>
        <v>0</v>
      </c>
      <c r="I28" s="864">
        <f t="shared" si="14"/>
        <v>0</v>
      </c>
      <c r="J28" s="864">
        <f t="shared" si="14"/>
        <v>0</v>
      </c>
      <c r="K28" s="864">
        <f t="shared" si="14"/>
        <v>0</v>
      </c>
      <c r="L28" s="864">
        <f t="shared" si="14"/>
        <v>0</v>
      </c>
      <c r="M28" s="864">
        <f t="shared" si="14"/>
        <v>0</v>
      </c>
      <c r="N28" s="864">
        <f t="shared" si="14"/>
        <v>0</v>
      </c>
      <c r="O28" s="864">
        <f t="shared" si="14"/>
        <v>0</v>
      </c>
      <c r="P28" s="864">
        <f t="shared" si="14"/>
        <v>0</v>
      </c>
      <c r="Q28" s="864">
        <f t="shared" si="14"/>
        <v>0</v>
      </c>
      <c r="R28" s="864">
        <f>$U$28/12</f>
        <v>0</v>
      </c>
      <c r="S28" s="664">
        <f t="shared" si="11"/>
        <v>0</v>
      </c>
      <c r="T28" s="151">
        <f>U28-S28</f>
        <v>0</v>
      </c>
      <c r="U28" s="661">
        <f>'5 KUSTANNUKSET'!G64+'5 KUSTANNUKSET'!G64*'9 KASSABUDJETTI'!F28</f>
        <v>0</v>
      </c>
    </row>
    <row r="29" spans="3:65" ht="16" customHeight="1" x14ac:dyDescent="0.35">
      <c r="C29" s="53" t="s">
        <v>292</v>
      </c>
      <c r="D29" s="53" t="s">
        <v>389</v>
      </c>
      <c r="E29" s="53"/>
      <c r="F29" s="965">
        <f>'AT5 Alv-ostot'!D14</f>
        <v>0</v>
      </c>
      <c r="G29" s="864">
        <f>$U$29/12</f>
        <v>0</v>
      </c>
      <c r="H29" s="864">
        <f t="shared" ref="H29:R29" si="15">$U$29/12</f>
        <v>0</v>
      </c>
      <c r="I29" s="864">
        <f t="shared" si="15"/>
        <v>0</v>
      </c>
      <c r="J29" s="864">
        <f t="shared" si="15"/>
        <v>0</v>
      </c>
      <c r="K29" s="864">
        <f t="shared" si="15"/>
        <v>0</v>
      </c>
      <c r="L29" s="864">
        <f t="shared" si="15"/>
        <v>0</v>
      </c>
      <c r="M29" s="864">
        <f t="shared" si="15"/>
        <v>0</v>
      </c>
      <c r="N29" s="864">
        <f t="shared" si="15"/>
        <v>0</v>
      </c>
      <c r="O29" s="864">
        <f t="shared" si="15"/>
        <v>0</v>
      </c>
      <c r="P29" s="864">
        <f t="shared" si="15"/>
        <v>0</v>
      </c>
      <c r="Q29" s="864">
        <f t="shared" si="15"/>
        <v>0</v>
      </c>
      <c r="R29" s="864">
        <f t="shared" si="15"/>
        <v>0</v>
      </c>
      <c r="S29" s="664">
        <f t="shared" si="11"/>
        <v>0</v>
      </c>
      <c r="T29" s="151">
        <f>U29-S29</f>
        <v>0</v>
      </c>
      <c r="U29" s="661">
        <f>'AT5 Alv-ostot'!D12</f>
        <v>0</v>
      </c>
    </row>
    <row r="30" spans="3:65" ht="16" customHeight="1" x14ac:dyDescent="0.35">
      <c r="C30" s="53" t="s">
        <v>297</v>
      </c>
      <c r="D30" s="53" t="s">
        <v>390</v>
      </c>
      <c r="E30" s="53"/>
      <c r="F30" s="142"/>
      <c r="G30" s="151">
        <f>'3 TASE'!$H$85/2</f>
        <v>0</v>
      </c>
      <c r="H30" s="151">
        <f>G30</f>
        <v>0</v>
      </c>
      <c r="I30" s="151">
        <f>'AT9 Alv-laskenta'!E28</f>
        <v>0</v>
      </c>
      <c r="J30" s="151">
        <f>'AT9 Alv-laskenta'!F28</f>
        <v>0</v>
      </c>
      <c r="K30" s="151">
        <f>'AT9 Alv-laskenta'!G28</f>
        <v>0</v>
      </c>
      <c r="L30" s="151">
        <f>'AT9 Alv-laskenta'!H28</f>
        <v>0</v>
      </c>
      <c r="M30" s="151">
        <f>'AT9 Alv-laskenta'!I28</f>
        <v>0</v>
      </c>
      <c r="N30" s="151">
        <f>'AT9 Alv-laskenta'!J28</f>
        <v>0</v>
      </c>
      <c r="O30" s="151">
        <f>'AT9 Alv-laskenta'!K28</f>
        <v>0</v>
      </c>
      <c r="P30" s="151">
        <f>'AT9 Alv-laskenta'!L28</f>
        <v>0</v>
      </c>
      <c r="Q30" s="151">
        <f>'AT9 Alv-laskenta'!M28</f>
        <v>0</v>
      </c>
      <c r="R30" s="151">
        <f>'AT9 Alv-laskenta'!N28</f>
        <v>0</v>
      </c>
      <c r="S30" s="664">
        <f t="shared" si="11"/>
        <v>0</v>
      </c>
      <c r="T30" s="129"/>
      <c r="U30" s="129"/>
    </row>
    <row r="31" spans="3:65" ht="16" customHeight="1" x14ac:dyDescent="0.35">
      <c r="C31" s="53" t="s">
        <v>299</v>
      </c>
      <c r="D31" s="53" t="s">
        <v>391</v>
      </c>
      <c r="E31" s="53"/>
      <c r="F31" s="142"/>
      <c r="G31" s="151">
        <f>BM26/12.5</f>
        <v>0</v>
      </c>
      <c r="H31" s="151">
        <f>G31</f>
        <v>0</v>
      </c>
      <c r="I31" s="151">
        <f t="shared" ref="I31:R31" si="16">H31</f>
        <v>0</v>
      </c>
      <c r="J31" s="151">
        <f t="shared" si="16"/>
        <v>0</v>
      </c>
      <c r="K31" s="151">
        <f t="shared" si="16"/>
        <v>0</v>
      </c>
      <c r="L31" s="151">
        <f t="shared" si="16"/>
        <v>0</v>
      </c>
      <c r="M31" s="151">
        <f>L31*1.5</f>
        <v>0</v>
      </c>
      <c r="N31" s="151">
        <f>L31</f>
        <v>0</v>
      </c>
      <c r="O31" s="151">
        <f>N31</f>
        <v>0</v>
      </c>
      <c r="P31" s="151">
        <f t="shared" si="16"/>
        <v>0</v>
      </c>
      <c r="Q31" s="151">
        <f t="shared" si="16"/>
        <v>0</v>
      </c>
      <c r="R31" s="151">
        <f t="shared" si="16"/>
        <v>0</v>
      </c>
      <c r="S31" s="664">
        <f t="shared" si="11"/>
        <v>0</v>
      </c>
      <c r="T31" s="129"/>
      <c r="U31" s="129"/>
    </row>
    <row r="32" spans="3:65" ht="16" customHeight="1" x14ac:dyDescent="0.35">
      <c r="C32" s="53" t="s">
        <v>300</v>
      </c>
      <c r="D32" s="53" t="s">
        <v>392</v>
      </c>
      <c r="E32" s="53"/>
      <c r="F32" s="142"/>
      <c r="G32" s="151">
        <f>'3 TASE'!I82+'3 TASE'!I84</f>
        <v>0</v>
      </c>
      <c r="H32" s="151">
        <f>BK26/12.5</f>
        <v>0</v>
      </c>
      <c r="I32" s="151">
        <f>H32</f>
        <v>0</v>
      </c>
      <c r="J32" s="151">
        <f t="shared" ref="J32:R32" si="17">I32</f>
        <v>0</v>
      </c>
      <c r="K32" s="151">
        <f t="shared" si="17"/>
        <v>0</v>
      </c>
      <c r="L32" s="151">
        <f t="shared" si="17"/>
        <v>0</v>
      </c>
      <c r="M32" s="151">
        <f t="shared" si="17"/>
        <v>0</v>
      </c>
      <c r="N32" s="151">
        <f>M32*1.5</f>
        <v>0</v>
      </c>
      <c r="O32" s="151">
        <f>M32</f>
        <v>0</v>
      </c>
      <c r="P32" s="151">
        <f>O32</f>
        <v>0</v>
      </c>
      <c r="Q32" s="151">
        <f t="shared" si="17"/>
        <v>0</v>
      </c>
      <c r="R32" s="151">
        <f t="shared" si="17"/>
        <v>0</v>
      </c>
      <c r="S32" s="664">
        <f t="shared" si="11"/>
        <v>0</v>
      </c>
      <c r="T32" s="129"/>
      <c r="U32" s="129"/>
    </row>
    <row r="33" spans="3:21" ht="16" customHeight="1" x14ac:dyDescent="0.35">
      <c r="C33" s="53" t="s">
        <v>301</v>
      </c>
      <c r="D33" s="53" t="s">
        <v>393</v>
      </c>
      <c r="E33" s="53"/>
      <c r="F33" s="960">
        <v>0.26100000000000001</v>
      </c>
      <c r="G33" s="151">
        <f>(F33*'5 KUSTANNUKSET'!G35)/12</f>
        <v>0</v>
      </c>
      <c r="H33" s="151">
        <f>G33</f>
        <v>0</v>
      </c>
      <c r="I33" s="151">
        <f t="shared" ref="I33:R33" si="18">H33</f>
        <v>0</v>
      </c>
      <c r="J33" s="151">
        <f t="shared" si="18"/>
        <v>0</v>
      </c>
      <c r="K33" s="151">
        <f t="shared" si="18"/>
        <v>0</v>
      </c>
      <c r="L33" s="151">
        <f t="shared" si="18"/>
        <v>0</v>
      </c>
      <c r="M33" s="151">
        <f t="shared" si="18"/>
        <v>0</v>
      </c>
      <c r="N33" s="151">
        <f t="shared" si="18"/>
        <v>0</v>
      </c>
      <c r="O33" s="151">
        <f t="shared" si="18"/>
        <v>0</v>
      </c>
      <c r="P33" s="151">
        <f t="shared" si="18"/>
        <v>0</v>
      </c>
      <c r="Q33" s="151">
        <f t="shared" si="18"/>
        <v>0</v>
      </c>
      <c r="R33" s="151">
        <f t="shared" si="18"/>
        <v>0</v>
      </c>
      <c r="S33" s="664">
        <f t="shared" si="11"/>
        <v>0</v>
      </c>
      <c r="T33" s="129"/>
      <c r="U33" s="129"/>
    </row>
    <row r="34" spans="3:21" ht="16" customHeight="1" x14ac:dyDescent="0.35">
      <c r="C34" s="53" t="s">
        <v>302</v>
      </c>
      <c r="D34" s="53" t="s">
        <v>394</v>
      </c>
      <c r="E34" s="53"/>
      <c r="F34" s="960">
        <v>0.25280000000000002</v>
      </c>
      <c r="G34" s="151">
        <f>F34*(AY26/12+BF26/12)</f>
        <v>0</v>
      </c>
      <c r="H34" s="151">
        <f>G34</f>
        <v>0</v>
      </c>
      <c r="I34" s="151">
        <f t="shared" ref="I34:R34" si="19">H34</f>
        <v>0</v>
      </c>
      <c r="J34" s="151">
        <f t="shared" si="19"/>
        <v>0</v>
      </c>
      <c r="K34" s="151">
        <f t="shared" si="19"/>
        <v>0</v>
      </c>
      <c r="L34" s="151">
        <f t="shared" si="19"/>
        <v>0</v>
      </c>
      <c r="M34" s="151">
        <f t="shared" si="19"/>
        <v>0</v>
      </c>
      <c r="N34" s="151">
        <f t="shared" si="19"/>
        <v>0</v>
      </c>
      <c r="O34" s="151">
        <f t="shared" si="19"/>
        <v>0</v>
      </c>
      <c r="P34" s="151">
        <f t="shared" si="19"/>
        <v>0</v>
      </c>
      <c r="Q34" s="151">
        <f t="shared" si="19"/>
        <v>0</v>
      </c>
      <c r="R34" s="151">
        <f t="shared" si="19"/>
        <v>0</v>
      </c>
      <c r="S34" s="664">
        <f t="shared" si="11"/>
        <v>0</v>
      </c>
      <c r="T34" s="129"/>
      <c r="U34" s="129"/>
    </row>
    <row r="35" spans="3:21" ht="16" customHeight="1" x14ac:dyDescent="0.35">
      <c r="C35" s="53" t="s">
        <v>303</v>
      </c>
      <c r="D35" s="53" t="s">
        <v>395</v>
      </c>
      <c r="E35" s="53"/>
      <c r="F35" s="142"/>
      <c r="G35" s="864">
        <f>$U$35/12</f>
        <v>0</v>
      </c>
      <c r="H35" s="864">
        <f t="shared" ref="H35:R35" si="20">$U$35/12</f>
        <v>0</v>
      </c>
      <c r="I35" s="864">
        <f t="shared" si="20"/>
        <v>0</v>
      </c>
      <c r="J35" s="864">
        <f t="shared" si="20"/>
        <v>0</v>
      </c>
      <c r="K35" s="864">
        <f t="shared" si="20"/>
        <v>0</v>
      </c>
      <c r="L35" s="864">
        <f t="shared" si="20"/>
        <v>0</v>
      </c>
      <c r="M35" s="864">
        <f t="shared" si="20"/>
        <v>0</v>
      </c>
      <c r="N35" s="864">
        <f t="shared" si="20"/>
        <v>0</v>
      </c>
      <c r="O35" s="864">
        <f t="shared" si="20"/>
        <v>0</v>
      </c>
      <c r="P35" s="864">
        <f t="shared" si="20"/>
        <v>0</v>
      </c>
      <c r="Q35" s="864">
        <f t="shared" si="20"/>
        <v>0</v>
      </c>
      <c r="R35" s="864">
        <f t="shared" si="20"/>
        <v>0</v>
      </c>
      <c r="S35" s="664">
        <f t="shared" si="11"/>
        <v>0</v>
      </c>
      <c r="T35" s="151">
        <f>U35-S35</f>
        <v>0</v>
      </c>
      <c r="U35" s="661">
        <f>'5 KUSTANNUKSET'!G38+'5 KUSTANNUKSET'!G42+'5 KUSTANNUKSET'!G43</f>
        <v>0</v>
      </c>
    </row>
    <row r="36" spans="3:21" ht="16" customHeight="1" x14ac:dyDescent="0.35">
      <c r="C36" s="53" t="s">
        <v>304</v>
      </c>
      <c r="D36" s="53" t="s">
        <v>396</v>
      </c>
      <c r="E36" s="53"/>
      <c r="F36" s="142"/>
      <c r="G36" s="864">
        <f>$U$36/12</f>
        <v>0</v>
      </c>
      <c r="H36" s="864">
        <f t="shared" ref="H36:R36" si="21">$U$36/12</f>
        <v>0</v>
      </c>
      <c r="I36" s="864">
        <f t="shared" si="21"/>
        <v>0</v>
      </c>
      <c r="J36" s="864">
        <f t="shared" si="21"/>
        <v>0</v>
      </c>
      <c r="K36" s="864">
        <f t="shared" si="21"/>
        <v>0</v>
      </c>
      <c r="L36" s="864">
        <f t="shared" si="21"/>
        <v>0</v>
      </c>
      <c r="M36" s="864">
        <f t="shared" si="21"/>
        <v>0</v>
      </c>
      <c r="N36" s="864">
        <f t="shared" si="21"/>
        <v>0</v>
      </c>
      <c r="O36" s="864">
        <f t="shared" si="21"/>
        <v>0</v>
      </c>
      <c r="P36" s="864">
        <f t="shared" si="21"/>
        <v>0</v>
      </c>
      <c r="Q36" s="864">
        <f t="shared" si="21"/>
        <v>0</v>
      </c>
      <c r="R36" s="864">
        <f t="shared" si="21"/>
        <v>0</v>
      </c>
      <c r="S36" s="664">
        <f t="shared" si="11"/>
        <v>0</v>
      </c>
      <c r="T36" s="151">
        <f>U36-S36</f>
        <v>0</v>
      </c>
      <c r="U36" s="661">
        <f>'5 KUSTANNUKSET'!G122</f>
        <v>0</v>
      </c>
    </row>
    <row r="37" spans="3:21" ht="16" customHeight="1" x14ac:dyDescent="0.35">
      <c r="C37" s="53" t="s">
        <v>305</v>
      </c>
      <c r="D37" s="53" t="s">
        <v>397</v>
      </c>
      <c r="E37" s="53"/>
      <c r="F37" s="142"/>
      <c r="G37" s="864">
        <f>$U$37/12</f>
        <v>0</v>
      </c>
      <c r="H37" s="864">
        <f t="shared" ref="H37:Q37" si="22">$U$37/12</f>
        <v>0</v>
      </c>
      <c r="I37" s="864">
        <f t="shared" si="22"/>
        <v>0</v>
      </c>
      <c r="J37" s="864">
        <f t="shared" si="22"/>
        <v>0</v>
      </c>
      <c r="K37" s="864">
        <f t="shared" si="22"/>
        <v>0</v>
      </c>
      <c r="L37" s="864">
        <f t="shared" si="22"/>
        <v>0</v>
      </c>
      <c r="M37" s="864">
        <f t="shared" si="22"/>
        <v>0</v>
      </c>
      <c r="N37" s="864">
        <f t="shared" si="22"/>
        <v>0</v>
      </c>
      <c r="O37" s="864">
        <f t="shared" si="22"/>
        <v>0</v>
      </c>
      <c r="P37" s="864">
        <f t="shared" si="22"/>
        <v>0</v>
      </c>
      <c r="Q37" s="864">
        <f t="shared" si="22"/>
        <v>0</v>
      </c>
      <c r="R37" s="864">
        <f>$U$37/12</f>
        <v>0</v>
      </c>
      <c r="S37" s="664">
        <f t="shared" si="11"/>
        <v>0</v>
      </c>
      <c r="T37" s="151">
        <f>U37-S37</f>
        <v>0</v>
      </c>
      <c r="U37" s="661">
        <f>'AT5 Alv-ostot'!D16</f>
        <v>0</v>
      </c>
    </row>
    <row r="38" spans="3:21" ht="16" customHeight="1" x14ac:dyDescent="0.35">
      <c r="C38" s="53" t="s">
        <v>306</v>
      </c>
      <c r="D38" s="53" t="s">
        <v>398</v>
      </c>
      <c r="E38" s="53"/>
      <c r="F38" s="142"/>
      <c r="G38" s="864">
        <f>$U$38/12</f>
        <v>0</v>
      </c>
      <c r="H38" s="864">
        <f t="shared" ref="H38:R38" si="23">$U$38/12</f>
        <v>0</v>
      </c>
      <c r="I38" s="864">
        <f t="shared" si="23"/>
        <v>0</v>
      </c>
      <c r="J38" s="864">
        <f t="shared" si="23"/>
        <v>0</v>
      </c>
      <c r="K38" s="864">
        <f t="shared" si="23"/>
        <v>0</v>
      </c>
      <c r="L38" s="864">
        <f t="shared" si="23"/>
        <v>0</v>
      </c>
      <c r="M38" s="864">
        <f t="shared" si="23"/>
        <v>0</v>
      </c>
      <c r="N38" s="864">
        <f t="shared" si="23"/>
        <v>0</v>
      </c>
      <c r="O38" s="864">
        <f t="shared" si="23"/>
        <v>0</v>
      </c>
      <c r="P38" s="864">
        <f t="shared" si="23"/>
        <v>0</v>
      </c>
      <c r="Q38" s="864">
        <f t="shared" si="23"/>
        <v>0</v>
      </c>
      <c r="R38" s="864">
        <f t="shared" si="23"/>
        <v>0</v>
      </c>
      <c r="S38" s="664">
        <f t="shared" si="11"/>
        <v>0</v>
      </c>
      <c r="T38" s="151">
        <f>U38-S38</f>
        <v>0</v>
      </c>
      <c r="U38" s="661">
        <f>'4 LAINAT'!I19+'4 LAINAT'!I40</f>
        <v>0</v>
      </c>
    </row>
    <row r="39" spans="3:21" ht="16" customHeight="1" x14ac:dyDescent="0.35">
      <c r="C39" s="53" t="s">
        <v>307</v>
      </c>
      <c r="D39" s="53" t="s">
        <v>69</v>
      </c>
      <c r="E39" s="53"/>
      <c r="F39" s="142"/>
      <c r="G39" s="864">
        <f>$U$39/12</f>
        <v>0</v>
      </c>
      <c r="H39" s="864">
        <f t="shared" ref="H39:R39" si="24">$U$39/12</f>
        <v>0</v>
      </c>
      <c r="I39" s="864">
        <f t="shared" si="24"/>
        <v>0</v>
      </c>
      <c r="J39" s="864">
        <f t="shared" si="24"/>
        <v>0</v>
      </c>
      <c r="K39" s="864">
        <f t="shared" si="24"/>
        <v>0</v>
      </c>
      <c r="L39" s="864">
        <f t="shared" si="24"/>
        <v>0</v>
      </c>
      <c r="M39" s="864">
        <f t="shared" si="24"/>
        <v>0</v>
      </c>
      <c r="N39" s="864">
        <f t="shared" si="24"/>
        <v>0</v>
      </c>
      <c r="O39" s="864">
        <f t="shared" si="24"/>
        <v>0</v>
      </c>
      <c r="P39" s="864">
        <f t="shared" si="24"/>
        <v>0</v>
      </c>
      <c r="Q39" s="864">
        <f t="shared" si="24"/>
        <v>0</v>
      </c>
      <c r="R39" s="864">
        <f t="shared" si="24"/>
        <v>0</v>
      </c>
      <c r="S39" s="664">
        <f t="shared" si="11"/>
        <v>0</v>
      </c>
      <c r="T39" s="151">
        <f>U39-S39</f>
        <v>0</v>
      </c>
      <c r="U39" s="661">
        <f>-'2 &amp; 7 TULOSSUUNNITELMA'!J27</f>
        <v>0</v>
      </c>
    </row>
    <row r="40" spans="3:21" ht="16" customHeight="1" x14ac:dyDescent="0.35">
      <c r="C40" s="53" t="s">
        <v>308</v>
      </c>
      <c r="D40" s="53" t="s">
        <v>399</v>
      </c>
      <c r="E40" s="53"/>
      <c r="F40" s="142"/>
      <c r="G40" s="864">
        <f>IF('1 INVESTOINTISUUNNITELMA'!E36=0,'1 INVESTOINTISUUNNITELMA'!E35)+'1 INVESTOINTISUUNNITELMA'!E30+'1 INVESTOINTISUUNNITELMA'!E24+'1 INVESTOINTISUUNNITELMA'!E17</f>
        <v>0</v>
      </c>
      <c r="H40" s="864"/>
      <c r="I40" s="864"/>
      <c r="J40" s="864"/>
      <c r="K40" s="864"/>
      <c r="L40" s="864"/>
      <c r="M40" s="864"/>
      <c r="N40" s="864"/>
      <c r="O40" s="864"/>
      <c r="P40" s="864"/>
      <c r="Q40" s="864"/>
      <c r="R40" s="864"/>
      <c r="S40" s="664">
        <f t="shared" si="11"/>
        <v>0</v>
      </c>
      <c r="T40" s="129"/>
      <c r="U40" s="129"/>
    </row>
    <row r="41" spans="3:21" ht="16" customHeight="1" x14ac:dyDescent="0.35">
      <c r="C41" s="53" t="s">
        <v>309</v>
      </c>
      <c r="D41" s="53" t="s">
        <v>400</v>
      </c>
      <c r="E41" s="53"/>
      <c r="F41" s="142"/>
      <c r="G41" s="864">
        <f>$U$41/12</f>
        <v>0</v>
      </c>
      <c r="H41" s="864">
        <f t="shared" ref="H41:R41" si="25">$U$41/12</f>
        <v>0</v>
      </c>
      <c r="I41" s="864">
        <f t="shared" si="25"/>
        <v>0</v>
      </c>
      <c r="J41" s="864">
        <f t="shared" si="25"/>
        <v>0</v>
      </c>
      <c r="K41" s="864">
        <f t="shared" si="25"/>
        <v>0</v>
      </c>
      <c r="L41" s="864">
        <f t="shared" si="25"/>
        <v>0</v>
      </c>
      <c r="M41" s="864">
        <f t="shared" si="25"/>
        <v>0</v>
      </c>
      <c r="N41" s="864">
        <f t="shared" si="25"/>
        <v>0</v>
      </c>
      <c r="O41" s="864">
        <f t="shared" si="25"/>
        <v>0</v>
      </c>
      <c r="P41" s="864">
        <f t="shared" si="25"/>
        <v>0</v>
      </c>
      <c r="Q41" s="864">
        <f t="shared" si="25"/>
        <v>0</v>
      </c>
      <c r="R41" s="864">
        <f t="shared" si="25"/>
        <v>0</v>
      </c>
      <c r="S41" s="664">
        <f t="shared" si="11"/>
        <v>0</v>
      </c>
      <c r="T41" s="151">
        <f>U41-S41</f>
        <v>0</v>
      </c>
      <c r="U41" s="661">
        <f>'5 KUSTANNUKSET'!E120</f>
        <v>0</v>
      </c>
    </row>
    <row r="42" spans="3:21" ht="16" customHeight="1" x14ac:dyDescent="0.35">
      <c r="C42" s="53" t="s">
        <v>310</v>
      </c>
      <c r="D42" s="910" t="s">
        <v>401</v>
      </c>
      <c r="E42" s="53"/>
      <c r="F42" s="142"/>
      <c r="G42" s="864">
        <f>'1 INVESTOINTISUUNNITELMA'!E38</f>
        <v>0</v>
      </c>
      <c r="H42" s="864"/>
      <c r="I42" s="864"/>
      <c r="J42" s="864"/>
      <c r="K42" s="864"/>
      <c r="L42" s="864"/>
      <c r="M42" s="864"/>
      <c r="N42" s="864"/>
      <c r="O42" s="864"/>
      <c r="P42" s="864"/>
      <c r="Q42" s="864"/>
      <c r="R42" s="864"/>
      <c r="S42" s="664">
        <f t="shared" si="11"/>
        <v>0</v>
      </c>
    </row>
    <row r="43" spans="3:21" ht="16" customHeight="1" thickBot="1" x14ac:dyDescent="0.4">
      <c r="C43" s="103" t="s">
        <v>311</v>
      </c>
      <c r="D43" s="930" t="s">
        <v>402</v>
      </c>
      <c r="E43" s="103"/>
      <c r="F43" s="159"/>
      <c r="G43" s="867"/>
      <c r="H43" s="867"/>
      <c r="I43" s="867"/>
      <c r="J43" s="867"/>
      <c r="K43" s="867"/>
      <c r="L43" s="867"/>
      <c r="M43" s="867"/>
      <c r="N43" s="867"/>
      <c r="O43" s="867"/>
      <c r="P43" s="867"/>
      <c r="Q43" s="867"/>
      <c r="R43" s="867"/>
      <c r="S43" s="664">
        <f t="shared" si="11"/>
        <v>0</v>
      </c>
      <c r="U43" s="1100" t="s">
        <v>638</v>
      </c>
    </row>
    <row r="44" spans="3:21" ht="16" customHeight="1" thickTop="1" thickBot="1" x14ac:dyDescent="0.4">
      <c r="C44" s="297"/>
      <c r="D44" s="298" t="s">
        <v>403</v>
      </c>
      <c r="E44" s="297"/>
      <c r="F44" s="299"/>
      <c r="G44" s="300">
        <f>SUM(G22:G43)</f>
        <v>0</v>
      </c>
      <c r="H44" s="300">
        <f t="shared" ref="H44:S44" si="26">SUM(H22:H43)</f>
        <v>0</v>
      </c>
      <c r="I44" s="300">
        <f t="shared" si="26"/>
        <v>0</v>
      </c>
      <c r="J44" s="300">
        <f t="shared" si="26"/>
        <v>0</v>
      </c>
      <c r="K44" s="300">
        <f t="shared" si="26"/>
        <v>0</v>
      </c>
      <c r="L44" s="300">
        <f t="shared" si="26"/>
        <v>0</v>
      </c>
      <c r="M44" s="300">
        <f t="shared" si="26"/>
        <v>0</v>
      </c>
      <c r="N44" s="300">
        <f t="shared" si="26"/>
        <v>0</v>
      </c>
      <c r="O44" s="300">
        <f t="shared" si="26"/>
        <v>0</v>
      </c>
      <c r="P44" s="300">
        <f t="shared" si="26"/>
        <v>0</v>
      </c>
      <c r="Q44" s="300">
        <f t="shared" si="26"/>
        <v>0</v>
      </c>
      <c r="R44" s="300">
        <f t="shared" si="26"/>
        <v>0</v>
      </c>
      <c r="S44" s="300">
        <f t="shared" si="26"/>
        <v>0</v>
      </c>
      <c r="U44" s="1101"/>
    </row>
    <row r="45" spans="3:21" ht="8.15" customHeight="1" thickTop="1" x14ac:dyDescent="0.35">
      <c r="U45" s="1101"/>
    </row>
    <row r="46" spans="3:21" ht="16" customHeight="1" x14ac:dyDescent="0.35">
      <c r="C46" s="452" t="s">
        <v>404</v>
      </c>
      <c r="D46" s="474"/>
      <c r="E46" s="475"/>
      <c r="F46" s="476"/>
      <c r="G46" s="477">
        <f>G9</f>
        <v>46023</v>
      </c>
      <c r="H46" s="477">
        <f t="shared" ref="H46:R46" si="27">H9</f>
        <v>46054</v>
      </c>
      <c r="I46" s="477">
        <f t="shared" si="27"/>
        <v>46085</v>
      </c>
      <c r="J46" s="477">
        <f t="shared" si="27"/>
        <v>46116</v>
      </c>
      <c r="K46" s="477">
        <f t="shared" si="27"/>
        <v>46147</v>
      </c>
      <c r="L46" s="477">
        <f t="shared" si="27"/>
        <v>46178</v>
      </c>
      <c r="M46" s="477">
        <f t="shared" si="27"/>
        <v>46209</v>
      </c>
      <c r="N46" s="477">
        <f t="shared" si="27"/>
        <v>46240</v>
      </c>
      <c r="O46" s="477">
        <f t="shared" si="27"/>
        <v>46271</v>
      </c>
      <c r="P46" s="477">
        <f t="shared" si="27"/>
        <v>46302</v>
      </c>
      <c r="Q46" s="477">
        <f t="shared" si="27"/>
        <v>46333</v>
      </c>
      <c r="R46" s="477">
        <f t="shared" si="27"/>
        <v>46364</v>
      </c>
      <c r="S46" s="457" t="s">
        <v>287</v>
      </c>
      <c r="T46" s="478" t="s">
        <v>637</v>
      </c>
      <c r="U46" s="1102"/>
    </row>
    <row r="47" spans="3:21" ht="16" customHeight="1" x14ac:dyDescent="0.35">
      <c r="C47" s="53" t="s">
        <v>312</v>
      </c>
      <c r="D47" s="53" t="s">
        <v>405</v>
      </c>
      <c r="E47" s="53"/>
      <c r="F47" s="142"/>
      <c r="G47" s="864">
        <f>$U$47/12</f>
        <v>0</v>
      </c>
      <c r="H47" s="864">
        <f t="shared" ref="H47:R47" si="28">$U$47/12</f>
        <v>0</v>
      </c>
      <c r="I47" s="864">
        <f t="shared" si="28"/>
        <v>0</v>
      </c>
      <c r="J47" s="864">
        <f t="shared" si="28"/>
        <v>0</v>
      </c>
      <c r="K47" s="864">
        <f t="shared" si="28"/>
        <v>0</v>
      </c>
      <c r="L47" s="864">
        <f t="shared" si="28"/>
        <v>0</v>
      </c>
      <c r="M47" s="864">
        <f t="shared" si="28"/>
        <v>0</v>
      </c>
      <c r="N47" s="864">
        <f t="shared" si="28"/>
        <v>0</v>
      </c>
      <c r="O47" s="864">
        <f t="shared" si="28"/>
        <v>0</v>
      </c>
      <c r="P47" s="864">
        <f t="shared" si="28"/>
        <v>0</v>
      </c>
      <c r="Q47" s="864">
        <f t="shared" si="28"/>
        <v>0</v>
      </c>
      <c r="R47" s="864">
        <f t="shared" si="28"/>
        <v>0</v>
      </c>
      <c r="S47" s="162">
        <f>SUM(G47:R47)</f>
        <v>0</v>
      </c>
      <c r="T47" s="240">
        <f>U47-S47</f>
        <v>0</v>
      </c>
      <c r="U47" s="661">
        <f>'4 LAINAT'!G20+'4 LAINAT'!I20+'4 LAINAT'!H46+'4 LAINAT'!I46</f>
        <v>0</v>
      </c>
    </row>
    <row r="48" spans="3:21" ht="16" customHeight="1" x14ac:dyDescent="0.35">
      <c r="C48" s="53" t="s">
        <v>313</v>
      </c>
      <c r="D48" s="53" t="s">
        <v>406</v>
      </c>
      <c r="E48" s="53"/>
      <c r="F48" s="142"/>
      <c r="G48" s="864">
        <f>U48</f>
        <v>0</v>
      </c>
      <c r="H48" s="864"/>
      <c r="I48" s="864"/>
      <c r="J48" s="864"/>
      <c r="K48" s="864"/>
      <c r="L48" s="864"/>
      <c r="M48" s="864"/>
      <c r="N48" s="864"/>
      <c r="O48" s="864"/>
      <c r="P48" s="864"/>
      <c r="Q48" s="864"/>
      <c r="R48" s="864"/>
      <c r="S48" s="162">
        <f t="shared" ref="S48:S52" si="29">SUM(G48:R48)</f>
        <v>0</v>
      </c>
      <c r="T48" s="240">
        <f>U48-S48</f>
        <v>0</v>
      </c>
      <c r="U48" s="661">
        <f>'4 LAINAT'!G40+'4 LAINAT'!G46</f>
        <v>0</v>
      </c>
    </row>
    <row r="49" spans="3:21" ht="16" customHeight="1" x14ac:dyDescent="0.35">
      <c r="C49" s="53" t="s">
        <v>328</v>
      </c>
      <c r="D49" s="53" t="s">
        <v>407</v>
      </c>
      <c r="E49" s="53"/>
      <c r="F49" s="142"/>
      <c r="G49" s="864"/>
      <c r="H49" s="864"/>
      <c r="I49" s="864"/>
      <c r="J49" s="864"/>
      <c r="K49" s="864"/>
      <c r="L49" s="864">
        <f>$U$49/2</f>
        <v>0</v>
      </c>
      <c r="M49" s="864"/>
      <c r="N49" s="864"/>
      <c r="O49" s="864"/>
      <c r="P49" s="864"/>
      <c r="Q49" s="864"/>
      <c r="R49" s="864">
        <f>$U$49/2</f>
        <v>0</v>
      </c>
      <c r="S49" s="162">
        <f t="shared" si="29"/>
        <v>0</v>
      </c>
      <c r="T49" s="240">
        <f>U49-S49</f>
        <v>0</v>
      </c>
      <c r="U49" s="661">
        <f>'4 LAINAT'!G19+'4 LAINAT'!H40</f>
        <v>0</v>
      </c>
    </row>
    <row r="50" spans="3:21" ht="16" customHeight="1" x14ac:dyDescent="0.35">
      <c r="C50" s="53" t="s">
        <v>329</v>
      </c>
      <c r="D50" s="53" t="s">
        <v>408</v>
      </c>
      <c r="E50" s="53"/>
      <c r="F50" s="142"/>
      <c r="G50" s="864">
        <f>'3 TASE'!I56</f>
        <v>0</v>
      </c>
      <c r="H50" s="864"/>
      <c r="I50" s="864"/>
      <c r="J50" s="864"/>
      <c r="K50" s="864"/>
      <c r="L50" s="864"/>
      <c r="M50" s="864"/>
      <c r="N50" s="864"/>
      <c r="O50" s="864"/>
      <c r="P50" s="864"/>
      <c r="Q50" s="864"/>
      <c r="R50" s="864"/>
      <c r="S50" s="162">
        <f t="shared" si="29"/>
        <v>0</v>
      </c>
    </row>
    <row r="51" spans="3:21" ht="16" customHeight="1" x14ac:dyDescent="0.35">
      <c r="C51" s="53" t="s">
        <v>330</v>
      </c>
      <c r="D51" s="53" t="s">
        <v>281</v>
      </c>
      <c r="E51" s="53"/>
      <c r="F51" s="142"/>
      <c r="G51" s="864">
        <f>U51</f>
        <v>0</v>
      </c>
      <c r="H51" s="864"/>
      <c r="I51" s="864"/>
      <c r="J51" s="864"/>
      <c r="K51" s="864"/>
      <c r="L51" s="864"/>
      <c r="M51" s="864"/>
      <c r="N51" s="864"/>
      <c r="O51" s="864"/>
      <c r="P51" s="864"/>
      <c r="Q51" s="864"/>
      <c r="R51" s="864"/>
      <c r="S51" s="162">
        <f t="shared" si="29"/>
        <v>0</v>
      </c>
      <c r="T51" s="240">
        <f>U51-S51</f>
        <v>0</v>
      </c>
      <c r="U51" s="661">
        <f>'1 INVESTOINTISUUNNITELMA'!E48+'1 INVESTOINTISUUNNITELMA'!E49+'1 INVESTOINTISUUNNITELMA'!E52</f>
        <v>0</v>
      </c>
    </row>
    <row r="52" spans="3:21" ht="16" customHeight="1" thickBot="1" x14ac:dyDescent="0.4">
      <c r="C52" s="103" t="s">
        <v>331</v>
      </c>
      <c r="D52" s="103" t="s">
        <v>409</v>
      </c>
      <c r="E52" s="103"/>
      <c r="F52" s="159"/>
      <c r="G52" s="867">
        <f>U52</f>
        <v>0</v>
      </c>
      <c r="H52" s="867"/>
      <c r="I52" s="867"/>
      <c r="J52" s="867"/>
      <c r="K52" s="867"/>
      <c r="L52" s="867"/>
      <c r="M52" s="867"/>
      <c r="N52" s="867"/>
      <c r="O52" s="867"/>
      <c r="P52" s="867"/>
      <c r="Q52" s="867"/>
      <c r="R52" s="867"/>
      <c r="S52" s="295">
        <f t="shared" si="29"/>
        <v>0</v>
      </c>
      <c r="T52" s="240">
        <f>U52-S52</f>
        <v>0</v>
      </c>
      <c r="U52" s="661">
        <f>'1 INVESTOINTISUUNNITELMA'!E51</f>
        <v>0</v>
      </c>
    </row>
    <row r="53" spans="3:21" ht="16" customHeight="1" thickTop="1" thickBot="1" x14ac:dyDescent="0.4">
      <c r="C53" s="297"/>
      <c r="D53" s="298" t="s">
        <v>410</v>
      </c>
      <c r="E53" s="297"/>
      <c r="F53" s="299"/>
      <c r="G53" s="300">
        <f>-G47+G48-G49-G50+G51+G52</f>
        <v>0</v>
      </c>
      <c r="H53" s="300">
        <f t="shared" ref="H53:R53" si="30">-H47+H48-H49-H50+H51+H52</f>
        <v>0</v>
      </c>
      <c r="I53" s="300">
        <f t="shared" si="30"/>
        <v>0</v>
      </c>
      <c r="J53" s="300">
        <f t="shared" si="30"/>
        <v>0</v>
      </c>
      <c r="K53" s="300">
        <f t="shared" si="30"/>
        <v>0</v>
      </c>
      <c r="L53" s="300">
        <f t="shared" si="30"/>
        <v>0</v>
      </c>
      <c r="M53" s="300">
        <f t="shared" si="30"/>
        <v>0</v>
      </c>
      <c r="N53" s="300">
        <f t="shared" si="30"/>
        <v>0</v>
      </c>
      <c r="O53" s="300">
        <f t="shared" si="30"/>
        <v>0</v>
      </c>
      <c r="P53" s="300">
        <f t="shared" si="30"/>
        <v>0</v>
      </c>
      <c r="Q53" s="300">
        <f t="shared" si="30"/>
        <v>0</v>
      </c>
      <c r="R53" s="300">
        <f t="shared" si="30"/>
        <v>0</v>
      </c>
      <c r="S53" s="300">
        <f>-S47+S48-S49-S50+S51+S52</f>
        <v>0</v>
      </c>
    </row>
    <row r="54" spans="3:21" ht="8.15" customHeight="1" thickTop="1" x14ac:dyDescent="0.35"/>
    <row r="55" spans="3:21" ht="16" customHeight="1" x14ac:dyDescent="0.35">
      <c r="C55" s="667" t="s">
        <v>332</v>
      </c>
      <c r="D55" s="668" t="s">
        <v>411</v>
      </c>
      <c r="E55" s="669"/>
      <c r="F55" s="670"/>
      <c r="G55" s="671">
        <f>G19-G44+G53</f>
        <v>0</v>
      </c>
      <c r="H55" s="671">
        <f t="shared" ref="H55:S55" si="31">H19-H44+H53</f>
        <v>0</v>
      </c>
      <c r="I55" s="671">
        <f t="shared" si="31"/>
        <v>0</v>
      </c>
      <c r="J55" s="671">
        <f t="shared" si="31"/>
        <v>0</v>
      </c>
      <c r="K55" s="671">
        <f t="shared" si="31"/>
        <v>0</v>
      </c>
      <c r="L55" s="671">
        <f t="shared" si="31"/>
        <v>0</v>
      </c>
      <c r="M55" s="671">
        <f t="shared" si="31"/>
        <v>0</v>
      </c>
      <c r="N55" s="671">
        <f t="shared" si="31"/>
        <v>0</v>
      </c>
      <c r="O55" s="671">
        <f t="shared" si="31"/>
        <v>0</v>
      </c>
      <c r="P55" s="671">
        <f t="shared" si="31"/>
        <v>0</v>
      </c>
      <c r="Q55" s="671">
        <f t="shared" si="31"/>
        <v>0</v>
      </c>
      <c r="R55" s="671">
        <f t="shared" si="31"/>
        <v>0</v>
      </c>
      <c r="S55" s="671">
        <f t="shared" si="31"/>
        <v>0</v>
      </c>
    </row>
    <row r="56" spans="3:21" ht="16" customHeight="1" x14ac:dyDescent="0.35">
      <c r="C56" s="667" t="s">
        <v>333</v>
      </c>
      <c r="D56" s="668" t="s">
        <v>412</v>
      </c>
      <c r="E56" s="669"/>
      <c r="F56" s="670"/>
      <c r="G56" s="290">
        <f>G10+G55+G11</f>
        <v>0</v>
      </c>
      <c r="H56" s="170">
        <f t="shared" ref="H56:Q56" si="32">H10+H55+H11</f>
        <v>0</v>
      </c>
      <c r="I56" s="170">
        <f t="shared" si="32"/>
        <v>0</v>
      </c>
      <c r="J56" s="170">
        <f t="shared" si="32"/>
        <v>0</v>
      </c>
      <c r="K56" s="170">
        <f t="shared" si="32"/>
        <v>0</v>
      </c>
      <c r="L56" s="170">
        <f>L10+L55+L11</f>
        <v>0</v>
      </c>
      <c r="M56" s="170">
        <f>M10+M55+M11</f>
        <v>0</v>
      </c>
      <c r="N56" s="170">
        <f t="shared" si="32"/>
        <v>0</v>
      </c>
      <c r="O56" s="170">
        <f t="shared" si="32"/>
        <v>0</v>
      </c>
      <c r="P56" s="170">
        <f t="shared" si="32"/>
        <v>0</v>
      </c>
      <c r="Q56" s="170">
        <f t="shared" si="32"/>
        <v>0</v>
      </c>
      <c r="R56" s="170">
        <f>R10+R55+R11</f>
        <v>0</v>
      </c>
      <c r="S56" s="129"/>
    </row>
    <row r="62" spans="3:21" ht="16" customHeight="1" x14ac:dyDescent="0.45">
      <c r="G62" s="15" t="s">
        <v>674</v>
      </c>
      <c r="I62" s="404">
        <f>'1 INVESTOINTISUUNNITELMA'!F16</f>
        <v>2027</v>
      </c>
    </row>
    <row r="65" spans="3:21" ht="16" customHeight="1" x14ac:dyDescent="0.35">
      <c r="C65" s="452" t="s">
        <v>373</v>
      </c>
      <c r="D65" s="474"/>
      <c r="E65" s="475"/>
      <c r="F65" s="476" t="s">
        <v>376</v>
      </c>
      <c r="G65" s="959">
        <v>46388</v>
      </c>
      <c r="H65" s="477">
        <f>G65+31</f>
        <v>46419</v>
      </c>
      <c r="I65" s="477">
        <f t="shared" ref="I65:R65" si="33">H65+31</f>
        <v>46450</v>
      </c>
      <c r="J65" s="477">
        <f t="shared" si="33"/>
        <v>46481</v>
      </c>
      <c r="K65" s="477">
        <f t="shared" si="33"/>
        <v>46512</v>
      </c>
      <c r="L65" s="477">
        <f t="shared" si="33"/>
        <v>46543</v>
      </c>
      <c r="M65" s="477">
        <f t="shared" si="33"/>
        <v>46574</v>
      </c>
      <c r="N65" s="477">
        <f t="shared" si="33"/>
        <v>46605</v>
      </c>
      <c r="O65" s="477">
        <f t="shared" si="33"/>
        <v>46636</v>
      </c>
      <c r="P65" s="477">
        <f t="shared" si="33"/>
        <v>46667</v>
      </c>
      <c r="Q65" s="477">
        <f t="shared" si="33"/>
        <v>46698</v>
      </c>
      <c r="R65" s="477">
        <f t="shared" si="33"/>
        <v>46729</v>
      </c>
      <c r="S65" s="457" t="s">
        <v>287</v>
      </c>
    </row>
    <row r="66" spans="3:21" ht="16" customHeight="1" x14ac:dyDescent="0.35">
      <c r="C66" s="1098" t="s">
        <v>275</v>
      </c>
      <c r="D66" s="145" t="s">
        <v>82</v>
      </c>
      <c r="E66" s="145"/>
      <c r="F66" s="142"/>
      <c r="G66" s="151">
        <f>R56</f>
        <v>0</v>
      </c>
      <c r="H66" s="661">
        <f>G112</f>
        <v>0</v>
      </c>
      <c r="I66" s="661">
        <f t="shared" ref="I66:R66" si="34">H112</f>
        <v>0</v>
      </c>
      <c r="J66" s="661">
        <f t="shared" si="34"/>
        <v>0</v>
      </c>
      <c r="K66" s="661">
        <f t="shared" si="34"/>
        <v>0</v>
      </c>
      <c r="L66" s="661">
        <f t="shared" si="34"/>
        <v>0</v>
      </c>
      <c r="M66" s="661">
        <f t="shared" si="34"/>
        <v>0</v>
      </c>
      <c r="N66" s="661">
        <f t="shared" si="34"/>
        <v>0</v>
      </c>
      <c r="O66" s="661">
        <f t="shared" si="34"/>
        <v>0</v>
      </c>
      <c r="P66" s="661">
        <f t="shared" si="34"/>
        <v>0</v>
      </c>
      <c r="Q66" s="661">
        <f t="shared" si="34"/>
        <v>0</v>
      </c>
      <c r="R66" s="661">
        <f t="shared" si="34"/>
        <v>0</v>
      </c>
      <c r="S66" s="664"/>
    </row>
    <row r="67" spans="3:21" ht="16" customHeight="1" x14ac:dyDescent="0.35">
      <c r="C67" s="1099"/>
      <c r="D67" s="53" t="s">
        <v>374</v>
      </c>
      <c r="E67" s="53"/>
      <c r="F67" s="142"/>
      <c r="G67" s="864">
        <f>'AT9 Kassa'!C47</f>
        <v>0</v>
      </c>
      <c r="H67" s="864">
        <f>'AT9 Kassa'!D47</f>
        <v>0</v>
      </c>
      <c r="I67" s="864">
        <f>'AT9 Kassa'!E47</f>
        <v>0</v>
      </c>
      <c r="J67" s="864">
        <f>'AT9 Kassa'!F47</f>
        <v>0</v>
      </c>
      <c r="K67" s="864">
        <f>'AT9 Kassa'!G47</f>
        <v>0</v>
      </c>
      <c r="L67" s="864">
        <f>'AT9 Kassa'!H47</f>
        <v>0</v>
      </c>
      <c r="M67" s="661"/>
      <c r="N67" s="661"/>
      <c r="O67" s="661"/>
      <c r="P67" s="661"/>
      <c r="Q67" s="661"/>
      <c r="R67" s="661"/>
      <c r="S67" s="664">
        <f>SUM(G67:R67)</f>
        <v>0</v>
      </c>
    </row>
    <row r="68" spans="3:21" ht="16" customHeight="1" x14ac:dyDescent="0.35">
      <c r="C68" s="53" t="s">
        <v>276</v>
      </c>
      <c r="D68" s="53" t="s">
        <v>377</v>
      </c>
      <c r="E68" s="960">
        <f>E12</f>
        <v>0</v>
      </c>
      <c r="F68" s="960">
        <v>0.255</v>
      </c>
      <c r="G68" s="151">
        <f>G69*$S$68</f>
        <v>0</v>
      </c>
      <c r="H68" s="151">
        <f t="shared" ref="H68:R68" si="35">H69*$S$68</f>
        <v>0</v>
      </c>
      <c r="I68" s="151">
        <f t="shared" si="35"/>
        <v>0</v>
      </c>
      <c r="J68" s="151">
        <f t="shared" si="35"/>
        <v>0</v>
      </c>
      <c r="K68" s="151">
        <f t="shared" si="35"/>
        <v>0</v>
      </c>
      <c r="L68" s="151">
        <f t="shared" si="35"/>
        <v>0</v>
      </c>
      <c r="M68" s="151">
        <f t="shared" si="35"/>
        <v>0</v>
      </c>
      <c r="N68" s="151">
        <f t="shared" si="35"/>
        <v>0</v>
      </c>
      <c r="O68" s="151">
        <f t="shared" si="35"/>
        <v>0</v>
      </c>
      <c r="P68" s="151">
        <f t="shared" si="35"/>
        <v>0</v>
      </c>
      <c r="Q68" s="151">
        <f t="shared" si="35"/>
        <v>0</v>
      </c>
      <c r="R68" s="151">
        <f t="shared" si="35"/>
        <v>0</v>
      </c>
      <c r="S68" s="664">
        <f>'6 LIIKEVAIHTO'!$H10*E68+'6 LIIKEVAIHTO'!$H10*'9 KASSABUDJETTI'!E68*'9 KASSABUDJETTI'!F68</f>
        <v>0</v>
      </c>
    </row>
    <row r="69" spans="3:21" ht="16" customHeight="1" x14ac:dyDescent="0.35">
      <c r="C69" s="53"/>
      <c r="D69" s="143" t="s">
        <v>375</v>
      </c>
      <c r="E69" s="53"/>
      <c r="F69" s="142"/>
      <c r="G69" s="962">
        <f>G13</f>
        <v>0.09</v>
      </c>
      <c r="H69" s="962">
        <f t="shared" ref="H69:R69" si="36">H13</f>
        <v>0.09</v>
      </c>
      <c r="I69" s="962">
        <f t="shared" si="36"/>
        <v>0.09</v>
      </c>
      <c r="J69" s="962">
        <f t="shared" si="36"/>
        <v>0.09</v>
      </c>
      <c r="K69" s="962">
        <f t="shared" si="36"/>
        <v>0.09</v>
      </c>
      <c r="L69" s="962">
        <f t="shared" si="36"/>
        <v>0.09</v>
      </c>
      <c r="M69" s="962">
        <f t="shared" si="36"/>
        <v>0.04</v>
      </c>
      <c r="N69" s="962">
        <f t="shared" si="36"/>
        <v>0.08</v>
      </c>
      <c r="O69" s="962">
        <f t="shared" si="36"/>
        <v>0.09</v>
      </c>
      <c r="P69" s="962">
        <f t="shared" si="36"/>
        <v>0.09</v>
      </c>
      <c r="Q69" s="962">
        <f t="shared" si="36"/>
        <v>0.08</v>
      </c>
      <c r="R69" s="962">
        <f t="shared" si="36"/>
        <v>0.08</v>
      </c>
      <c r="S69" s="665">
        <f>SUM(G69:R69)</f>
        <v>0.99999999999999978</v>
      </c>
    </row>
    <row r="70" spans="3:21" ht="16" customHeight="1" x14ac:dyDescent="0.35">
      <c r="C70" s="53" t="s">
        <v>277</v>
      </c>
      <c r="D70" s="53" t="s">
        <v>378</v>
      </c>
      <c r="E70" s="53"/>
      <c r="F70" s="960">
        <v>0.255</v>
      </c>
      <c r="G70" s="151">
        <f>G71*$S$70</f>
        <v>0</v>
      </c>
      <c r="H70" s="151">
        <f t="shared" ref="H70:R70" si="37">H71*$S$70</f>
        <v>0</v>
      </c>
      <c r="I70" s="151">
        <f t="shared" si="37"/>
        <v>0</v>
      </c>
      <c r="J70" s="151">
        <f t="shared" si="37"/>
        <v>0</v>
      </c>
      <c r="K70" s="151">
        <f t="shared" si="37"/>
        <v>0</v>
      </c>
      <c r="L70" s="151">
        <f t="shared" si="37"/>
        <v>0</v>
      </c>
      <c r="M70" s="151">
        <f t="shared" si="37"/>
        <v>0</v>
      </c>
      <c r="N70" s="151">
        <f t="shared" si="37"/>
        <v>0</v>
      </c>
      <c r="O70" s="151">
        <f t="shared" si="37"/>
        <v>0</v>
      </c>
      <c r="P70" s="151">
        <f t="shared" si="37"/>
        <v>0</v>
      </c>
      <c r="Q70" s="151">
        <f t="shared" si="37"/>
        <v>0</v>
      </c>
      <c r="R70" s="151">
        <f t="shared" si="37"/>
        <v>0</v>
      </c>
      <c r="S70" s="162">
        <f>'6 LIIKEVAIHTO'!$H10+'6 LIIKEVAIHTO'!H10*F70-S68</f>
        <v>0</v>
      </c>
    </row>
    <row r="71" spans="3:21" ht="16" customHeight="1" x14ac:dyDescent="0.35">
      <c r="C71" s="53"/>
      <c r="D71" s="143" t="s">
        <v>375</v>
      </c>
      <c r="E71" s="53"/>
      <c r="F71" s="142"/>
      <c r="G71" s="962">
        <f>G15</f>
        <v>0.09</v>
      </c>
      <c r="H71" s="962">
        <f t="shared" ref="H71:R71" si="38">H15</f>
        <v>0.09</v>
      </c>
      <c r="I71" s="962">
        <f t="shared" si="38"/>
        <v>0.09</v>
      </c>
      <c r="J71" s="962">
        <f t="shared" si="38"/>
        <v>0.09</v>
      </c>
      <c r="K71" s="962">
        <f t="shared" si="38"/>
        <v>0.09</v>
      </c>
      <c r="L71" s="962">
        <f t="shared" si="38"/>
        <v>0.09</v>
      </c>
      <c r="M71" s="962">
        <f t="shared" si="38"/>
        <v>0.04</v>
      </c>
      <c r="N71" s="962">
        <f t="shared" si="38"/>
        <v>0.08</v>
      </c>
      <c r="O71" s="962">
        <f t="shared" si="38"/>
        <v>0.09</v>
      </c>
      <c r="P71" s="962">
        <f t="shared" si="38"/>
        <v>0.09</v>
      </c>
      <c r="Q71" s="962">
        <f t="shared" si="38"/>
        <v>0.08</v>
      </c>
      <c r="R71" s="962">
        <f t="shared" si="38"/>
        <v>0.08</v>
      </c>
      <c r="S71" s="665">
        <f>SUM(G71:R71)</f>
        <v>0.99999999999999978</v>
      </c>
    </row>
    <row r="72" spans="3:21" ht="16" customHeight="1" x14ac:dyDescent="0.35">
      <c r="C72" s="53"/>
      <c r="D72" s="143" t="s">
        <v>379</v>
      </c>
      <c r="E72" s="961">
        <f>'8 RAHOITUSSUUNNITELMA'!I47</f>
        <v>0</v>
      </c>
      <c r="F72" s="142"/>
      <c r="G72" s="151">
        <f>'AT9 Kassa'!C71</f>
        <v>0</v>
      </c>
      <c r="H72" s="355">
        <f>'AT9 Kassa'!D71</f>
        <v>0</v>
      </c>
      <c r="I72" s="355">
        <f>'AT9 Kassa'!E71</f>
        <v>0</v>
      </c>
      <c r="J72" s="355">
        <f>'AT9 Kassa'!F71</f>
        <v>0</v>
      </c>
      <c r="K72" s="355">
        <f>'AT9 Kassa'!G71</f>
        <v>0</v>
      </c>
      <c r="L72" s="355">
        <f>'AT9 Kassa'!H71</f>
        <v>0</v>
      </c>
      <c r="M72" s="355">
        <f>'AT9 Kassa'!I71</f>
        <v>0</v>
      </c>
      <c r="N72" s="355">
        <f>'AT9 Kassa'!J71</f>
        <v>0</v>
      </c>
      <c r="O72" s="355">
        <f>'AT9 Kassa'!K71</f>
        <v>0</v>
      </c>
      <c r="P72" s="355">
        <f>'AT9 Kassa'!L71</f>
        <v>0</v>
      </c>
      <c r="Q72" s="355">
        <f>'AT9 Kassa'!M71</f>
        <v>0</v>
      </c>
      <c r="R72" s="355">
        <f>'AT9 Kassa'!N71</f>
        <v>0</v>
      </c>
      <c r="S72" s="664">
        <f>SUM(G72:R72)</f>
        <v>0</v>
      </c>
    </row>
    <row r="73" spans="3:21" ht="16" customHeight="1" x14ac:dyDescent="0.35">
      <c r="C73" s="53" t="s">
        <v>278</v>
      </c>
      <c r="D73" s="910" t="s">
        <v>380</v>
      </c>
      <c r="E73" s="53"/>
      <c r="F73" s="960">
        <v>0.255</v>
      </c>
      <c r="G73" s="864">
        <f>'2 &amp; 7 TULOSSUUNNITELMA'!$L$12/12+'2 &amp; 7 TULOSSUUNNITELMA'!$L$12/12*$F$73</f>
        <v>0</v>
      </c>
      <c r="H73" s="963">
        <f>'2 &amp; 7 TULOSSUUNNITELMA'!$L$12/12+'2 &amp; 7 TULOSSUUNNITELMA'!$L$12/12*$F$73</f>
        <v>0</v>
      </c>
      <c r="I73" s="963">
        <f>'2 &amp; 7 TULOSSUUNNITELMA'!$L$12/12+'2 &amp; 7 TULOSSUUNNITELMA'!$L$12/12*$F$73</f>
        <v>0</v>
      </c>
      <c r="J73" s="963">
        <f>'2 &amp; 7 TULOSSUUNNITELMA'!$L$12/12+'2 &amp; 7 TULOSSUUNNITELMA'!$L$12/12*$F$73</f>
        <v>0</v>
      </c>
      <c r="K73" s="963">
        <f>'2 &amp; 7 TULOSSUUNNITELMA'!$L$12/12+'2 &amp; 7 TULOSSUUNNITELMA'!$L$12/12*$F$73</f>
        <v>0</v>
      </c>
      <c r="L73" s="963">
        <f>'2 &amp; 7 TULOSSUUNNITELMA'!$L$12/12+'2 &amp; 7 TULOSSUUNNITELMA'!$L$12/12*$F$73</f>
        <v>0</v>
      </c>
      <c r="M73" s="963">
        <f>'2 &amp; 7 TULOSSUUNNITELMA'!$L$12/12+'2 &amp; 7 TULOSSUUNNITELMA'!$L$12/12*$F$73</f>
        <v>0</v>
      </c>
      <c r="N73" s="963">
        <f>'2 &amp; 7 TULOSSUUNNITELMA'!$L$12/12+'2 &amp; 7 TULOSSUUNNITELMA'!$L$12/12*$F$73</f>
        <v>0</v>
      </c>
      <c r="O73" s="963">
        <f>'2 &amp; 7 TULOSSUUNNITELMA'!$L$12/12+'2 &amp; 7 TULOSSUUNNITELMA'!$L$12/12*$F$73</f>
        <v>0</v>
      </c>
      <c r="P73" s="963">
        <f>'2 &amp; 7 TULOSSUUNNITELMA'!$L$12/12+'2 &amp; 7 TULOSSUUNNITELMA'!$L$12/12*$F$73</f>
        <v>0</v>
      </c>
      <c r="Q73" s="963">
        <f>'2 &amp; 7 TULOSSUUNNITELMA'!$L$12/12+'2 &amp; 7 TULOSSUUNNITELMA'!$L$12/12*$F$73</f>
        <v>0</v>
      </c>
      <c r="R73" s="963">
        <f>'2 &amp; 7 TULOSSUUNNITELMA'!$L$12/12+'2 &amp; 7 TULOSSUUNNITELMA'!$L$12/12*$F$73</f>
        <v>0</v>
      </c>
      <c r="S73" s="664">
        <f>SUM(G73:R73)</f>
        <v>0</v>
      </c>
    </row>
    <row r="74" spans="3:21" ht="16" customHeight="1" thickBot="1" x14ac:dyDescent="0.4">
      <c r="C74" s="103" t="s">
        <v>279</v>
      </c>
      <c r="D74" s="103" t="s">
        <v>381</v>
      </c>
      <c r="E74" s="103"/>
      <c r="F74" s="159"/>
      <c r="G74" s="867">
        <f>'5 KUSTANNUKSET'!$I$30/12</f>
        <v>0</v>
      </c>
      <c r="H74" s="964">
        <f>'5 KUSTANNUKSET'!$I$30/12</f>
        <v>0</v>
      </c>
      <c r="I74" s="964">
        <f>'5 KUSTANNUKSET'!$I$30/12</f>
        <v>0</v>
      </c>
      <c r="J74" s="964">
        <f>'5 KUSTANNUKSET'!$I$30/12</f>
        <v>0</v>
      </c>
      <c r="K74" s="964">
        <f>'5 KUSTANNUKSET'!$I$30/12</f>
        <v>0</v>
      </c>
      <c r="L74" s="964">
        <f>'5 KUSTANNUKSET'!$I$30/12</f>
        <v>0</v>
      </c>
      <c r="M74" s="964">
        <f>'5 KUSTANNUKSET'!$I$30/12+'1 INVESTOINTISUUNNITELMA'!F61</f>
        <v>0</v>
      </c>
      <c r="N74" s="964">
        <f>'5 KUSTANNUKSET'!$I$30/12</f>
        <v>0</v>
      </c>
      <c r="O74" s="964">
        <f>'5 KUSTANNUKSET'!$I$30/12</f>
        <v>0</v>
      </c>
      <c r="P74" s="964">
        <f>'5 KUSTANNUKSET'!$I$30/12</f>
        <v>0</v>
      </c>
      <c r="Q74" s="964">
        <f>'5 KUSTANNUKSET'!$I$30/12</f>
        <v>0</v>
      </c>
      <c r="R74" s="964">
        <f>'5 KUSTANNUKSET'!$I$30/12</f>
        <v>0</v>
      </c>
      <c r="S74" s="666">
        <f>SUM(G74:R74)</f>
        <v>0</v>
      </c>
      <c r="U74" s="1100" t="s">
        <v>638</v>
      </c>
    </row>
    <row r="75" spans="3:21" ht="16" customHeight="1" thickTop="1" x14ac:dyDescent="0.35">
      <c r="C75" s="145"/>
      <c r="D75" s="157" t="s">
        <v>382</v>
      </c>
      <c r="E75" s="145"/>
      <c r="F75" s="158"/>
      <c r="G75" s="337">
        <f>G68+G72+G74+G73</f>
        <v>0</v>
      </c>
      <c r="H75" s="337">
        <f t="shared" ref="H75:Q75" si="39">H68+H72+H74+H73</f>
        <v>0</v>
      </c>
      <c r="I75" s="337">
        <f t="shared" si="39"/>
        <v>0</v>
      </c>
      <c r="J75" s="337">
        <f t="shared" si="39"/>
        <v>0</v>
      </c>
      <c r="K75" s="337">
        <f t="shared" si="39"/>
        <v>0</v>
      </c>
      <c r="L75" s="337">
        <f t="shared" si="39"/>
        <v>0</v>
      </c>
      <c r="M75" s="337">
        <f t="shared" si="39"/>
        <v>0</v>
      </c>
      <c r="N75" s="337">
        <f t="shared" si="39"/>
        <v>0</v>
      </c>
      <c r="O75" s="337">
        <f t="shared" si="39"/>
        <v>0</v>
      </c>
      <c r="P75" s="337">
        <f t="shared" si="39"/>
        <v>0</v>
      </c>
      <c r="Q75" s="337">
        <f t="shared" si="39"/>
        <v>0</v>
      </c>
      <c r="R75" s="337">
        <f>R68+R72+R74+R73</f>
        <v>0</v>
      </c>
      <c r="S75" s="337">
        <f>SUM(G75:R75)</f>
        <v>0</v>
      </c>
      <c r="U75" s="1101"/>
    </row>
    <row r="76" spans="3:21" ht="16" customHeight="1" x14ac:dyDescent="0.35">
      <c r="U76" s="1101"/>
    </row>
    <row r="77" spans="3:21" ht="16" customHeight="1" x14ac:dyDescent="0.35">
      <c r="C77" s="452" t="s">
        <v>383</v>
      </c>
      <c r="D77" s="474"/>
      <c r="E77" s="475"/>
      <c r="F77" s="476" t="s">
        <v>376</v>
      </c>
      <c r="G77" s="477">
        <f>G65</f>
        <v>46388</v>
      </c>
      <c r="H77" s="477">
        <f t="shared" ref="H77:R77" si="40">H65</f>
        <v>46419</v>
      </c>
      <c r="I77" s="477">
        <f t="shared" si="40"/>
        <v>46450</v>
      </c>
      <c r="J77" s="477">
        <f t="shared" si="40"/>
        <v>46481</v>
      </c>
      <c r="K77" s="477">
        <f t="shared" si="40"/>
        <v>46512</v>
      </c>
      <c r="L77" s="477">
        <f t="shared" si="40"/>
        <v>46543</v>
      </c>
      <c r="M77" s="477">
        <f t="shared" si="40"/>
        <v>46574</v>
      </c>
      <c r="N77" s="477">
        <f t="shared" si="40"/>
        <v>46605</v>
      </c>
      <c r="O77" s="477">
        <f t="shared" si="40"/>
        <v>46636</v>
      </c>
      <c r="P77" s="477">
        <f t="shared" si="40"/>
        <v>46667</v>
      </c>
      <c r="Q77" s="477">
        <f t="shared" si="40"/>
        <v>46698</v>
      </c>
      <c r="R77" s="477">
        <f t="shared" si="40"/>
        <v>46729</v>
      </c>
      <c r="S77" s="457" t="s">
        <v>287</v>
      </c>
      <c r="T77" s="478" t="s">
        <v>637</v>
      </c>
      <c r="U77" s="1102"/>
    </row>
    <row r="78" spans="3:21" ht="16" customHeight="1" x14ac:dyDescent="0.35">
      <c r="C78" s="1099" t="s">
        <v>285</v>
      </c>
      <c r="D78" s="53" t="s">
        <v>384</v>
      </c>
      <c r="E78" s="53"/>
      <c r="F78" s="960">
        <v>0.255</v>
      </c>
      <c r="G78" s="864">
        <f>IF(($S$68+$S$70)*$U$78=0,0,(G68+G70)/($S$68+$S$70)*$U$78)</f>
        <v>0</v>
      </c>
      <c r="H78" s="864">
        <f>IF(($S$68+$S$70)*$U$78=0,0,(H68+H70)/($S$68+$S$70)*$U$78)</f>
        <v>0</v>
      </c>
      <c r="I78" s="864">
        <f t="shared" ref="I78:R78" si="41">IF(($S$68+$S$70)*$U$78=0,0,(I68+I70)/($S$68+$S$70)*$U$78)</f>
        <v>0</v>
      </c>
      <c r="J78" s="864">
        <f t="shared" si="41"/>
        <v>0</v>
      </c>
      <c r="K78" s="864">
        <f t="shared" si="41"/>
        <v>0</v>
      </c>
      <c r="L78" s="864">
        <f t="shared" si="41"/>
        <v>0</v>
      </c>
      <c r="M78" s="864">
        <f t="shared" si="41"/>
        <v>0</v>
      </c>
      <c r="N78" s="864">
        <f t="shared" si="41"/>
        <v>0</v>
      </c>
      <c r="O78" s="864">
        <f t="shared" si="41"/>
        <v>0</v>
      </c>
      <c r="P78" s="864">
        <f t="shared" si="41"/>
        <v>0</v>
      </c>
      <c r="Q78" s="864">
        <f t="shared" si="41"/>
        <v>0</v>
      </c>
      <c r="R78" s="864">
        <f t="shared" si="41"/>
        <v>0</v>
      </c>
      <c r="S78" s="664">
        <f>SUM(G78:R78)</f>
        <v>0</v>
      </c>
      <c r="T78" s="151">
        <f>U78-S78</f>
        <v>0</v>
      </c>
      <c r="U78" s="661">
        <f>'6 LIIKEVAIHTO'!H11+'6 LIIKEVAIHTO'!H11*F78</f>
        <v>0</v>
      </c>
    </row>
    <row r="79" spans="3:21" ht="16" customHeight="1" x14ac:dyDescent="0.35">
      <c r="C79" s="1099"/>
      <c r="D79" s="53" t="s">
        <v>385</v>
      </c>
      <c r="E79" s="961">
        <f>'3 TASE'!J79</f>
        <v>0</v>
      </c>
      <c r="F79" s="142"/>
      <c r="G79" s="869">
        <f>'AT9 Kassa'!Q44</f>
        <v>0</v>
      </c>
      <c r="H79" s="869">
        <f>'AT9 Kassa'!R44</f>
        <v>0</v>
      </c>
      <c r="I79" s="869">
        <f>'AT9 Kassa'!S44</f>
        <v>0</v>
      </c>
      <c r="J79" s="661"/>
      <c r="K79" s="661"/>
      <c r="L79" s="661"/>
      <c r="M79" s="661"/>
      <c r="N79" s="661"/>
      <c r="O79" s="661"/>
      <c r="P79" s="661"/>
      <c r="Q79" s="661"/>
      <c r="R79" s="661"/>
      <c r="S79" s="664">
        <f t="shared" ref="S79:S81" si="42">SUM(G79:R79)</f>
        <v>0</v>
      </c>
      <c r="T79" s="129"/>
      <c r="U79" s="129"/>
    </row>
    <row r="80" spans="3:21" ht="16" customHeight="1" x14ac:dyDescent="0.35">
      <c r="C80" s="328" t="s">
        <v>672</v>
      </c>
      <c r="D80" s="53" t="s">
        <v>671</v>
      </c>
      <c r="E80" s="338"/>
      <c r="F80" s="142"/>
      <c r="G80" s="672"/>
      <c r="H80" s="661"/>
      <c r="I80" s="661"/>
      <c r="J80" s="661"/>
      <c r="K80" s="661"/>
      <c r="L80" s="661"/>
      <c r="M80" s="661"/>
      <c r="N80" s="661"/>
      <c r="O80" s="661"/>
      <c r="P80" s="661"/>
      <c r="Q80" s="661"/>
      <c r="R80" s="661"/>
      <c r="S80" s="664">
        <f t="shared" si="42"/>
        <v>0</v>
      </c>
      <c r="T80" s="129"/>
      <c r="U80" s="129"/>
    </row>
    <row r="81" spans="3:21" ht="16" customHeight="1" x14ac:dyDescent="0.35">
      <c r="C81" s="53" t="s">
        <v>673</v>
      </c>
      <c r="D81" s="53" t="s">
        <v>210</v>
      </c>
      <c r="E81" s="53"/>
      <c r="F81" s="960">
        <v>0.255</v>
      </c>
      <c r="G81" s="864">
        <f>$U$81/12</f>
        <v>0</v>
      </c>
      <c r="H81" s="864">
        <f t="shared" ref="H81:R81" si="43">$U$81/12</f>
        <v>0</v>
      </c>
      <c r="I81" s="864">
        <f t="shared" si="43"/>
        <v>0</v>
      </c>
      <c r="J81" s="864">
        <f t="shared" si="43"/>
        <v>0</v>
      </c>
      <c r="K81" s="864">
        <f t="shared" si="43"/>
        <v>0</v>
      </c>
      <c r="L81" s="864">
        <f t="shared" si="43"/>
        <v>0</v>
      </c>
      <c r="M81" s="864">
        <f t="shared" si="43"/>
        <v>0</v>
      </c>
      <c r="N81" s="864">
        <f t="shared" si="43"/>
        <v>0</v>
      </c>
      <c r="O81" s="864">
        <f t="shared" si="43"/>
        <v>0</v>
      </c>
      <c r="P81" s="864">
        <f t="shared" si="43"/>
        <v>0</v>
      </c>
      <c r="Q81" s="864">
        <f t="shared" si="43"/>
        <v>0</v>
      </c>
      <c r="R81" s="864">
        <f t="shared" si="43"/>
        <v>0</v>
      </c>
      <c r="S81" s="664">
        <f t="shared" si="42"/>
        <v>0</v>
      </c>
      <c r="T81" s="151">
        <f>U81-S81</f>
        <v>0</v>
      </c>
      <c r="U81" s="661">
        <f>-('2 &amp; 7 TULOSSUUNNITELMA'!L16+'2 &amp; 7 TULOSSUUNNITELMA'!L16*F81)</f>
        <v>0</v>
      </c>
    </row>
    <row r="82" spans="3:21" ht="16" customHeight="1" x14ac:dyDescent="0.35">
      <c r="C82" s="53" t="s">
        <v>289</v>
      </c>
      <c r="D82" s="53" t="s">
        <v>386</v>
      </c>
      <c r="E82" s="53"/>
      <c r="F82" s="960">
        <v>0.255</v>
      </c>
      <c r="G82" s="864">
        <f>'1 INVESTOINTISUUNNITELMA'!F20+'1 INVESTOINTISUUNNITELMA'!F27+'1 INVESTOINTISUUNNITELMA'!F32+IF('1 INVESTOINTISUUNNITELMA'!F36=0,0,'1 INVESTOINTISUUNNITELMA'!F35)</f>
        <v>0</v>
      </c>
      <c r="H82" s="864"/>
      <c r="I82" s="864"/>
      <c r="J82" s="864"/>
      <c r="K82" s="864"/>
      <c r="L82" s="864"/>
      <c r="M82" s="864"/>
      <c r="N82" s="864"/>
      <c r="O82" s="864"/>
      <c r="P82" s="864"/>
      <c r="Q82" s="864"/>
      <c r="R82" s="864"/>
      <c r="S82" s="664">
        <f t="shared" ref="S82:S99" si="44">SUM(G82:R82)</f>
        <v>0</v>
      </c>
      <c r="T82" s="129"/>
      <c r="U82" s="129"/>
    </row>
    <row r="83" spans="3:21" ht="16" customHeight="1" x14ac:dyDescent="0.35">
      <c r="C83" s="53" t="s">
        <v>290</v>
      </c>
      <c r="D83" s="53" t="s">
        <v>387</v>
      </c>
      <c r="E83" s="53"/>
      <c r="F83" s="960">
        <v>0.255</v>
      </c>
      <c r="G83" s="864">
        <f>$U$83/12</f>
        <v>0</v>
      </c>
      <c r="H83" s="864">
        <f t="shared" ref="H83:R83" si="45">$U$83/12</f>
        <v>0</v>
      </c>
      <c r="I83" s="864">
        <f t="shared" si="45"/>
        <v>0</v>
      </c>
      <c r="J83" s="864">
        <f t="shared" si="45"/>
        <v>0</v>
      </c>
      <c r="K83" s="864">
        <f t="shared" si="45"/>
        <v>0</v>
      </c>
      <c r="L83" s="864">
        <f t="shared" si="45"/>
        <v>0</v>
      </c>
      <c r="M83" s="864">
        <f t="shared" si="45"/>
        <v>0</v>
      </c>
      <c r="N83" s="864">
        <f t="shared" si="45"/>
        <v>0</v>
      </c>
      <c r="O83" s="864">
        <f t="shared" si="45"/>
        <v>0</v>
      </c>
      <c r="P83" s="864">
        <f t="shared" si="45"/>
        <v>0</v>
      </c>
      <c r="Q83" s="864">
        <f t="shared" si="45"/>
        <v>0</v>
      </c>
      <c r="R83" s="864">
        <f t="shared" si="45"/>
        <v>0</v>
      </c>
      <c r="S83" s="664">
        <f t="shared" si="44"/>
        <v>0</v>
      </c>
      <c r="T83" s="151">
        <f>U83-S83</f>
        <v>0</v>
      </c>
      <c r="U83" s="661">
        <f>'5 KUSTANNUKSET'!I53+'5 KUSTANNUKSET'!I53*F83</f>
        <v>0</v>
      </c>
    </row>
    <row r="84" spans="3:21" ht="16" customHeight="1" x14ac:dyDescent="0.35">
      <c r="C84" s="53" t="s">
        <v>291</v>
      </c>
      <c r="D84" s="53" t="s">
        <v>388</v>
      </c>
      <c r="E84" s="53"/>
      <c r="F84" s="960">
        <v>0.255</v>
      </c>
      <c r="G84" s="864">
        <f>$U$84/12</f>
        <v>0</v>
      </c>
      <c r="H84" s="864">
        <f t="shared" ref="H84:R84" si="46">$U$84/12</f>
        <v>0</v>
      </c>
      <c r="I84" s="864">
        <f t="shared" si="46"/>
        <v>0</v>
      </c>
      <c r="J84" s="864">
        <f t="shared" si="46"/>
        <v>0</v>
      </c>
      <c r="K84" s="864">
        <f t="shared" si="46"/>
        <v>0</v>
      </c>
      <c r="L84" s="864">
        <f t="shared" si="46"/>
        <v>0</v>
      </c>
      <c r="M84" s="864">
        <f t="shared" si="46"/>
        <v>0</v>
      </c>
      <c r="N84" s="864">
        <f t="shared" si="46"/>
        <v>0</v>
      </c>
      <c r="O84" s="864">
        <f t="shared" si="46"/>
        <v>0</v>
      </c>
      <c r="P84" s="864">
        <f t="shared" si="46"/>
        <v>0</v>
      </c>
      <c r="Q84" s="864">
        <f t="shared" si="46"/>
        <v>0</v>
      </c>
      <c r="R84" s="864">
        <f t="shared" si="46"/>
        <v>0</v>
      </c>
      <c r="S84" s="664">
        <f t="shared" si="44"/>
        <v>0</v>
      </c>
      <c r="T84" s="151">
        <f>U84-S84</f>
        <v>0</v>
      </c>
      <c r="U84" s="661">
        <f>'5 KUSTANNUKSET'!I64+'5 KUSTANNUKSET'!I64*F84</f>
        <v>0</v>
      </c>
    </row>
    <row r="85" spans="3:21" ht="16" customHeight="1" x14ac:dyDescent="0.35">
      <c r="C85" s="53" t="s">
        <v>292</v>
      </c>
      <c r="D85" s="53" t="s">
        <v>389</v>
      </c>
      <c r="E85" s="53"/>
      <c r="F85" s="965">
        <f>'AT5 Alv-ostot'!E14</f>
        <v>0</v>
      </c>
      <c r="G85" s="864">
        <f>$U$85/12</f>
        <v>0</v>
      </c>
      <c r="H85" s="864">
        <f t="shared" ref="H85:R85" si="47">$U$85/12</f>
        <v>0</v>
      </c>
      <c r="I85" s="864">
        <f t="shared" si="47"/>
        <v>0</v>
      </c>
      <c r="J85" s="864">
        <f t="shared" si="47"/>
        <v>0</v>
      </c>
      <c r="K85" s="864">
        <f t="shared" si="47"/>
        <v>0</v>
      </c>
      <c r="L85" s="864">
        <f t="shared" si="47"/>
        <v>0</v>
      </c>
      <c r="M85" s="864">
        <f t="shared" si="47"/>
        <v>0</v>
      </c>
      <c r="N85" s="864">
        <f t="shared" si="47"/>
        <v>0</v>
      </c>
      <c r="O85" s="864">
        <f t="shared" si="47"/>
        <v>0</v>
      </c>
      <c r="P85" s="864">
        <f t="shared" si="47"/>
        <v>0</v>
      </c>
      <c r="Q85" s="864">
        <f t="shared" si="47"/>
        <v>0</v>
      </c>
      <c r="R85" s="864">
        <f t="shared" si="47"/>
        <v>0</v>
      </c>
      <c r="S85" s="664">
        <f t="shared" si="44"/>
        <v>0</v>
      </c>
      <c r="T85" s="151">
        <f>U85-S85</f>
        <v>0</v>
      </c>
      <c r="U85" s="661">
        <f>'AT5 Alv-ostot'!E12</f>
        <v>0</v>
      </c>
    </row>
    <row r="86" spans="3:21" ht="16" customHeight="1" x14ac:dyDescent="0.35">
      <c r="C86" s="53" t="s">
        <v>297</v>
      </c>
      <c r="D86" s="53" t="s">
        <v>390</v>
      </c>
      <c r="E86" s="53"/>
      <c r="F86" s="142"/>
      <c r="G86" s="151">
        <f>'AT9 Alv-laskenta'!O28</f>
        <v>0</v>
      </c>
      <c r="H86" s="151">
        <f>'AT9 Alv-laskenta'!P28</f>
        <v>0</v>
      </c>
      <c r="I86" s="151">
        <f>'AT9 Alv-laskenta'!E57</f>
        <v>0</v>
      </c>
      <c r="J86" s="151">
        <f>'AT9 Alv-laskenta'!F57</f>
        <v>0</v>
      </c>
      <c r="K86" s="151">
        <f>'AT9 Alv-laskenta'!G57</f>
        <v>0</v>
      </c>
      <c r="L86" s="151">
        <f>'AT9 Alv-laskenta'!H57</f>
        <v>0</v>
      </c>
      <c r="M86" s="151">
        <f>'AT9 Alv-laskenta'!I57</f>
        <v>0</v>
      </c>
      <c r="N86" s="151">
        <f>'AT9 Alv-laskenta'!J57</f>
        <v>0</v>
      </c>
      <c r="O86" s="151">
        <f>'AT9 Alv-laskenta'!K57</f>
        <v>0</v>
      </c>
      <c r="P86" s="151">
        <f>'AT9 Alv-laskenta'!L57</f>
        <v>0</v>
      </c>
      <c r="Q86" s="151">
        <f>'AT9 Alv-laskenta'!M57</f>
        <v>0</v>
      </c>
      <c r="R86" s="151">
        <f>'AT9 Alv-laskenta'!N57</f>
        <v>0</v>
      </c>
      <c r="S86" s="664">
        <f t="shared" si="44"/>
        <v>0</v>
      </c>
      <c r="T86" s="129"/>
      <c r="U86" s="129"/>
    </row>
    <row r="87" spans="3:21" ht="16" customHeight="1" x14ac:dyDescent="0.35">
      <c r="C87" s="53" t="s">
        <v>299</v>
      </c>
      <c r="D87" s="53" t="s">
        <v>391</v>
      </c>
      <c r="E87" s="53"/>
      <c r="F87" s="142"/>
      <c r="G87" s="151">
        <f>BM27/12.5</f>
        <v>0</v>
      </c>
      <c r="H87" s="151">
        <f>G87</f>
        <v>0</v>
      </c>
      <c r="I87" s="151">
        <f t="shared" ref="I87:R87" si="48">H87</f>
        <v>0</v>
      </c>
      <c r="J87" s="151">
        <f t="shared" si="48"/>
        <v>0</v>
      </c>
      <c r="K87" s="151">
        <f t="shared" si="48"/>
        <v>0</v>
      </c>
      <c r="L87" s="151">
        <f t="shared" si="48"/>
        <v>0</v>
      </c>
      <c r="M87" s="151">
        <f>L87*1.5</f>
        <v>0</v>
      </c>
      <c r="N87" s="151">
        <f>L87</f>
        <v>0</v>
      </c>
      <c r="O87" s="151">
        <f>N87</f>
        <v>0</v>
      </c>
      <c r="P87" s="151">
        <f t="shared" si="48"/>
        <v>0</v>
      </c>
      <c r="Q87" s="151">
        <f t="shared" si="48"/>
        <v>0</v>
      </c>
      <c r="R87" s="151">
        <f t="shared" si="48"/>
        <v>0</v>
      </c>
      <c r="S87" s="664">
        <f t="shared" si="44"/>
        <v>0</v>
      </c>
      <c r="T87" s="129"/>
      <c r="U87" s="129"/>
    </row>
    <row r="88" spans="3:21" ht="16" customHeight="1" x14ac:dyDescent="0.35">
      <c r="C88" s="53" t="s">
        <v>300</v>
      </c>
      <c r="D88" s="53" t="s">
        <v>392</v>
      </c>
      <c r="E88" s="53"/>
      <c r="F88" s="142"/>
      <c r="G88" s="151">
        <f>BK26/12.5</f>
        <v>0</v>
      </c>
      <c r="H88" s="151">
        <f>BK27/12.5</f>
        <v>0</v>
      </c>
      <c r="I88" s="151">
        <f>H88</f>
        <v>0</v>
      </c>
      <c r="J88" s="151">
        <f t="shared" ref="J88:R88" si="49">I88</f>
        <v>0</v>
      </c>
      <c r="K88" s="151">
        <f t="shared" si="49"/>
        <v>0</v>
      </c>
      <c r="L88" s="151">
        <f t="shared" si="49"/>
        <v>0</v>
      </c>
      <c r="M88" s="151">
        <f t="shared" si="49"/>
        <v>0</v>
      </c>
      <c r="N88" s="151">
        <f>M88*1.5</f>
        <v>0</v>
      </c>
      <c r="O88" s="151">
        <f>M88</f>
        <v>0</v>
      </c>
      <c r="P88" s="151">
        <f t="shared" si="49"/>
        <v>0</v>
      </c>
      <c r="Q88" s="151">
        <f t="shared" si="49"/>
        <v>0</v>
      </c>
      <c r="R88" s="151">
        <f t="shared" si="49"/>
        <v>0</v>
      </c>
      <c r="S88" s="664">
        <f t="shared" si="44"/>
        <v>0</v>
      </c>
      <c r="T88" s="129"/>
      <c r="U88" s="129"/>
    </row>
    <row r="89" spans="3:21" ht="16" customHeight="1" x14ac:dyDescent="0.35">
      <c r="C89" s="53" t="s">
        <v>301</v>
      </c>
      <c r="D89" s="53" t="s">
        <v>393</v>
      </c>
      <c r="E89" s="53"/>
      <c r="F89" s="960">
        <v>0.26100000000000001</v>
      </c>
      <c r="G89" s="151">
        <f>($F$89*'5 KUSTANNUKSET'!$I$35)/12</f>
        <v>0</v>
      </c>
      <c r="H89" s="151">
        <f>G89</f>
        <v>0</v>
      </c>
      <c r="I89" s="151">
        <f t="shared" ref="I89:R90" si="50">H89</f>
        <v>0</v>
      </c>
      <c r="J89" s="151">
        <f t="shared" si="50"/>
        <v>0</v>
      </c>
      <c r="K89" s="151">
        <f t="shared" si="50"/>
        <v>0</v>
      </c>
      <c r="L89" s="151">
        <f t="shared" si="50"/>
        <v>0</v>
      </c>
      <c r="M89" s="151">
        <f t="shared" si="50"/>
        <v>0</v>
      </c>
      <c r="N89" s="151">
        <f t="shared" si="50"/>
        <v>0</v>
      </c>
      <c r="O89" s="151">
        <f t="shared" si="50"/>
        <v>0</v>
      </c>
      <c r="P89" s="151">
        <f t="shared" si="50"/>
        <v>0</v>
      </c>
      <c r="Q89" s="151">
        <f t="shared" si="50"/>
        <v>0</v>
      </c>
      <c r="R89" s="151">
        <f t="shared" si="50"/>
        <v>0</v>
      </c>
      <c r="S89" s="664">
        <f t="shared" si="44"/>
        <v>0</v>
      </c>
      <c r="T89" s="129"/>
      <c r="U89" s="129"/>
    </row>
    <row r="90" spans="3:21" ht="16" customHeight="1" x14ac:dyDescent="0.35">
      <c r="C90" s="53" t="s">
        <v>302</v>
      </c>
      <c r="D90" s="53" t="s">
        <v>394</v>
      </c>
      <c r="E90" s="53"/>
      <c r="F90" s="960">
        <v>0.25280000000000002</v>
      </c>
      <c r="G90" s="151">
        <f>$F90*(AY27/12+BF27/12)</f>
        <v>0</v>
      </c>
      <c r="H90" s="151">
        <f>G90</f>
        <v>0</v>
      </c>
      <c r="I90" s="151">
        <f t="shared" si="50"/>
        <v>0</v>
      </c>
      <c r="J90" s="151">
        <f t="shared" si="50"/>
        <v>0</v>
      </c>
      <c r="K90" s="151">
        <f t="shared" si="50"/>
        <v>0</v>
      </c>
      <c r="L90" s="151">
        <f t="shared" si="50"/>
        <v>0</v>
      </c>
      <c r="M90" s="151">
        <f t="shared" si="50"/>
        <v>0</v>
      </c>
      <c r="N90" s="151">
        <f t="shared" si="50"/>
        <v>0</v>
      </c>
      <c r="O90" s="151">
        <f t="shared" si="50"/>
        <v>0</v>
      </c>
      <c r="P90" s="151">
        <f t="shared" si="50"/>
        <v>0</v>
      </c>
      <c r="Q90" s="151">
        <f t="shared" si="50"/>
        <v>0</v>
      </c>
      <c r="R90" s="151">
        <f t="shared" si="50"/>
        <v>0</v>
      </c>
      <c r="S90" s="664">
        <f t="shared" si="44"/>
        <v>0</v>
      </c>
      <c r="T90" s="129"/>
      <c r="U90" s="129"/>
    </row>
    <row r="91" spans="3:21" ht="16" customHeight="1" x14ac:dyDescent="0.35">
      <c r="C91" s="53" t="s">
        <v>303</v>
      </c>
      <c r="D91" s="53" t="s">
        <v>395</v>
      </c>
      <c r="E91" s="53"/>
      <c r="F91" s="142"/>
      <c r="G91" s="864">
        <f>$U$91/12</f>
        <v>0</v>
      </c>
      <c r="H91" s="864">
        <f t="shared" ref="H91:R91" si="51">$U$91/12</f>
        <v>0</v>
      </c>
      <c r="I91" s="864">
        <f t="shared" si="51"/>
        <v>0</v>
      </c>
      <c r="J91" s="864">
        <f t="shared" si="51"/>
        <v>0</v>
      </c>
      <c r="K91" s="864">
        <f t="shared" si="51"/>
        <v>0</v>
      </c>
      <c r="L91" s="864">
        <f t="shared" si="51"/>
        <v>0</v>
      </c>
      <c r="M91" s="864">
        <f t="shared" si="51"/>
        <v>0</v>
      </c>
      <c r="N91" s="864">
        <f t="shared" si="51"/>
        <v>0</v>
      </c>
      <c r="O91" s="864">
        <f t="shared" si="51"/>
        <v>0</v>
      </c>
      <c r="P91" s="864">
        <f t="shared" si="51"/>
        <v>0</v>
      </c>
      <c r="Q91" s="864">
        <f t="shared" si="51"/>
        <v>0</v>
      </c>
      <c r="R91" s="864">
        <f t="shared" si="51"/>
        <v>0</v>
      </c>
      <c r="S91" s="664">
        <f t="shared" si="44"/>
        <v>0</v>
      </c>
      <c r="T91" s="151">
        <f>U91-S91</f>
        <v>0</v>
      </c>
      <c r="U91" s="661">
        <f>'5 KUSTANNUKSET'!I38+'5 KUSTANNUKSET'!I42+'5 KUSTANNUKSET'!I43</f>
        <v>0</v>
      </c>
    </row>
    <row r="92" spans="3:21" ht="16" customHeight="1" x14ac:dyDescent="0.35">
      <c r="C92" s="53" t="s">
        <v>304</v>
      </c>
      <c r="D92" s="53" t="s">
        <v>396</v>
      </c>
      <c r="E92" s="53"/>
      <c r="F92" s="142"/>
      <c r="G92" s="864">
        <f>$U$92/12</f>
        <v>0</v>
      </c>
      <c r="H92" s="864">
        <f t="shared" ref="H92:R92" si="52">$U$92/12</f>
        <v>0</v>
      </c>
      <c r="I92" s="864">
        <f t="shared" si="52"/>
        <v>0</v>
      </c>
      <c r="J92" s="864">
        <f t="shared" si="52"/>
        <v>0</v>
      </c>
      <c r="K92" s="864">
        <f t="shared" si="52"/>
        <v>0</v>
      </c>
      <c r="L92" s="864">
        <f t="shared" si="52"/>
        <v>0</v>
      </c>
      <c r="M92" s="864">
        <f t="shared" si="52"/>
        <v>0</v>
      </c>
      <c r="N92" s="864">
        <f t="shared" si="52"/>
        <v>0</v>
      </c>
      <c r="O92" s="864">
        <f t="shared" si="52"/>
        <v>0</v>
      </c>
      <c r="P92" s="864">
        <f t="shared" si="52"/>
        <v>0</v>
      </c>
      <c r="Q92" s="864">
        <f t="shared" si="52"/>
        <v>0</v>
      </c>
      <c r="R92" s="864">
        <f t="shared" si="52"/>
        <v>0</v>
      </c>
      <c r="S92" s="664">
        <f t="shared" si="44"/>
        <v>0</v>
      </c>
      <c r="T92" s="151">
        <f>U92-S92</f>
        <v>0</v>
      </c>
      <c r="U92" s="661">
        <f>'5 KUSTANNUKSET'!I122</f>
        <v>0</v>
      </c>
    </row>
    <row r="93" spans="3:21" ht="16" customHeight="1" x14ac:dyDescent="0.35">
      <c r="C93" s="53" t="s">
        <v>305</v>
      </c>
      <c r="D93" s="53" t="s">
        <v>397</v>
      </c>
      <c r="E93" s="53"/>
      <c r="F93" s="142"/>
      <c r="G93" s="864">
        <f>$U$93/12</f>
        <v>0</v>
      </c>
      <c r="H93" s="864">
        <f t="shared" ref="H93:R93" si="53">$U$93/12</f>
        <v>0</v>
      </c>
      <c r="I93" s="864">
        <f t="shared" si="53"/>
        <v>0</v>
      </c>
      <c r="J93" s="864">
        <f t="shared" si="53"/>
        <v>0</v>
      </c>
      <c r="K93" s="864">
        <f t="shared" si="53"/>
        <v>0</v>
      </c>
      <c r="L93" s="864">
        <f t="shared" si="53"/>
        <v>0</v>
      </c>
      <c r="M93" s="864">
        <f t="shared" si="53"/>
        <v>0</v>
      </c>
      <c r="N93" s="864">
        <f t="shared" si="53"/>
        <v>0</v>
      </c>
      <c r="O93" s="864">
        <f t="shared" si="53"/>
        <v>0</v>
      </c>
      <c r="P93" s="864">
        <f t="shared" si="53"/>
        <v>0</v>
      </c>
      <c r="Q93" s="864">
        <f t="shared" si="53"/>
        <v>0</v>
      </c>
      <c r="R93" s="864">
        <f t="shared" si="53"/>
        <v>0</v>
      </c>
      <c r="S93" s="664">
        <f t="shared" si="44"/>
        <v>0</v>
      </c>
      <c r="T93" s="151">
        <f>U93-S93</f>
        <v>0</v>
      </c>
      <c r="U93" s="661">
        <f>'AT5 Alv-ostot'!E16</f>
        <v>0</v>
      </c>
    </row>
    <row r="94" spans="3:21" ht="16" customHeight="1" x14ac:dyDescent="0.35">
      <c r="C94" s="53" t="s">
        <v>306</v>
      </c>
      <c r="D94" s="53" t="s">
        <v>398</v>
      </c>
      <c r="E94" s="53"/>
      <c r="F94" s="142"/>
      <c r="G94" s="864">
        <f>$U$94/12</f>
        <v>0</v>
      </c>
      <c r="H94" s="864">
        <f t="shared" ref="H94:R94" si="54">$U$94/12</f>
        <v>0</v>
      </c>
      <c r="I94" s="864">
        <f t="shared" si="54"/>
        <v>0</v>
      </c>
      <c r="J94" s="864">
        <f t="shared" si="54"/>
        <v>0</v>
      </c>
      <c r="K94" s="864">
        <f t="shared" si="54"/>
        <v>0</v>
      </c>
      <c r="L94" s="864">
        <f t="shared" si="54"/>
        <v>0</v>
      </c>
      <c r="M94" s="864">
        <f t="shared" si="54"/>
        <v>0</v>
      </c>
      <c r="N94" s="864">
        <f t="shared" si="54"/>
        <v>0</v>
      </c>
      <c r="O94" s="864">
        <f t="shared" si="54"/>
        <v>0</v>
      </c>
      <c r="P94" s="864">
        <f t="shared" si="54"/>
        <v>0</v>
      </c>
      <c r="Q94" s="864">
        <f t="shared" si="54"/>
        <v>0</v>
      </c>
      <c r="R94" s="864">
        <f t="shared" si="54"/>
        <v>0</v>
      </c>
      <c r="S94" s="664">
        <f t="shared" si="44"/>
        <v>0</v>
      </c>
      <c r="T94" s="151">
        <f>U94-S94</f>
        <v>0</v>
      </c>
      <c r="U94" s="661">
        <f>'4 LAINAT'!L19+'4 LAINAT'!L40</f>
        <v>0</v>
      </c>
    </row>
    <row r="95" spans="3:21" ht="16" customHeight="1" x14ac:dyDescent="0.35">
      <c r="C95" s="53" t="s">
        <v>307</v>
      </c>
      <c r="D95" s="53" t="s">
        <v>69</v>
      </c>
      <c r="E95" s="53"/>
      <c r="F95" s="142"/>
      <c r="G95" s="864">
        <f>$U$95/12</f>
        <v>0</v>
      </c>
      <c r="H95" s="864">
        <f t="shared" ref="H95:R95" si="55">$U$95/12</f>
        <v>0</v>
      </c>
      <c r="I95" s="864">
        <f t="shared" si="55"/>
        <v>0</v>
      </c>
      <c r="J95" s="864">
        <f t="shared" si="55"/>
        <v>0</v>
      </c>
      <c r="K95" s="864">
        <f t="shared" si="55"/>
        <v>0</v>
      </c>
      <c r="L95" s="864">
        <f t="shared" si="55"/>
        <v>0</v>
      </c>
      <c r="M95" s="864">
        <f t="shared" si="55"/>
        <v>0</v>
      </c>
      <c r="N95" s="864">
        <f t="shared" si="55"/>
        <v>0</v>
      </c>
      <c r="O95" s="864">
        <f t="shared" si="55"/>
        <v>0</v>
      </c>
      <c r="P95" s="864">
        <f t="shared" si="55"/>
        <v>0</v>
      </c>
      <c r="Q95" s="864">
        <f t="shared" si="55"/>
        <v>0</v>
      </c>
      <c r="R95" s="864">
        <f t="shared" si="55"/>
        <v>0</v>
      </c>
      <c r="S95" s="664">
        <f t="shared" si="44"/>
        <v>0</v>
      </c>
      <c r="T95" s="151">
        <f>U95-S95</f>
        <v>0</v>
      </c>
      <c r="U95" s="661">
        <f>-'2 &amp; 7 TULOSSUUNNITELMA'!L27</f>
        <v>0</v>
      </c>
    </row>
    <row r="96" spans="3:21" ht="16" customHeight="1" x14ac:dyDescent="0.35">
      <c r="C96" s="53" t="s">
        <v>308</v>
      </c>
      <c r="D96" s="53" t="s">
        <v>399</v>
      </c>
      <c r="E96" s="53"/>
      <c r="F96" s="142"/>
      <c r="G96" s="864">
        <f>IF('1 INVESTOINTISUUNNITELMA'!F36&gt;0,0,'1 INVESTOINTISUUNNITELMA'!F35)+'1 INVESTOINTISUUNNITELMA'!F30+'1 INVESTOINTISUUNNITELMA'!F24+'1 INVESTOINTISUUNNITELMA'!F17</f>
        <v>0</v>
      </c>
      <c r="H96" s="864"/>
      <c r="I96" s="864"/>
      <c r="J96" s="864"/>
      <c r="K96" s="864"/>
      <c r="L96" s="864"/>
      <c r="M96" s="864"/>
      <c r="N96" s="864"/>
      <c r="O96" s="864"/>
      <c r="P96" s="864"/>
      <c r="Q96" s="864"/>
      <c r="R96" s="864"/>
      <c r="S96" s="664">
        <f t="shared" si="44"/>
        <v>0</v>
      </c>
      <c r="T96" s="129"/>
      <c r="U96" s="129"/>
    </row>
    <row r="97" spans="3:21" ht="16" customHeight="1" x14ac:dyDescent="0.35">
      <c r="C97" s="53" t="s">
        <v>309</v>
      </c>
      <c r="D97" s="53" t="s">
        <v>400</v>
      </c>
      <c r="E97" s="53"/>
      <c r="F97" s="142"/>
      <c r="G97" s="864">
        <f>$U$97/12</f>
        <v>0</v>
      </c>
      <c r="H97" s="864">
        <f t="shared" ref="H97:R97" si="56">$U$97/12</f>
        <v>0</v>
      </c>
      <c r="I97" s="864">
        <f t="shared" si="56"/>
        <v>0</v>
      </c>
      <c r="J97" s="864">
        <f t="shared" si="56"/>
        <v>0</v>
      </c>
      <c r="K97" s="864">
        <f t="shared" si="56"/>
        <v>0</v>
      </c>
      <c r="L97" s="864">
        <f t="shared" si="56"/>
        <v>0</v>
      </c>
      <c r="M97" s="864">
        <f t="shared" si="56"/>
        <v>0</v>
      </c>
      <c r="N97" s="864">
        <f t="shared" si="56"/>
        <v>0</v>
      </c>
      <c r="O97" s="864">
        <f t="shared" si="56"/>
        <v>0</v>
      </c>
      <c r="P97" s="864">
        <f t="shared" si="56"/>
        <v>0</v>
      </c>
      <c r="Q97" s="864">
        <f t="shared" si="56"/>
        <v>0</v>
      </c>
      <c r="R97" s="864">
        <f t="shared" si="56"/>
        <v>0</v>
      </c>
      <c r="S97" s="664">
        <f t="shared" si="44"/>
        <v>0</v>
      </c>
      <c r="T97" s="151">
        <f>U97-S97</f>
        <v>0</v>
      </c>
      <c r="U97" s="661">
        <f>'5 KUSTANNUKSET'!G120</f>
        <v>0</v>
      </c>
    </row>
    <row r="98" spans="3:21" ht="16" customHeight="1" x14ac:dyDescent="0.35">
      <c r="C98" s="53" t="s">
        <v>310</v>
      </c>
      <c r="D98" s="910" t="s">
        <v>401</v>
      </c>
      <c r="E98" s="53"/>
      <c r="F98" s="142"/>
      <c r="G98" s="864">
        <f>'1 INVESTOINTISUUNNITELMA'!F38</f>
        <v>0</v>
      </c>
      <c r="H98" s="864"/>
      <c r="I98" s="864"/>
      <c r="J98" s="864"/>
      <c r="K98" s="864"/>
      <c r="L98" s="864"/>
      <c r="M98" s="864"/>
      <c r="N98" s="864"/>
      <c r="O98" s="864"/>
      <c r="P98" s="864"/>
      <c r="Q98" s="864"/>
      <c r="R98" s="864"/>
      <c r="S98" s="664">
        <f t="shared" si="44"/>
        <v>0</v>
      </c>
    </row>
    <row r="99" spans="3:21" ht="16" customHeight="1" thickBot="1" x14ac:dyDescent="0.4">
      <c r="C99" s="103" t="s">
        <v>311</v>
      </c>
      <c r="D99" s="930" t="s">
        <v>402</v>
      </c>
      <c r="E99" s="103"/>
      <c r="F99" s="159"/>
      <c r="G99" s="867"/>
      <c r="H99" s="867"/>
      <c r="I99" s="867"/>
      <c r="J99" s="867"/>
      <c r="K99" s="867"/>
      <c r="L99" s="867"/>
      <c r="M99" s="867"/>
      <c r="N99" s="867"/>
      <c r="O99" s="867"/>
      <c r="P99" s="867"/>
      <c r="Q99" s="867"/>
      <c r="R99" s="867"/>
      <c r="S99" s="664">
        <f t="shared" si="44"/>
        <v>0</v>
      </c>
      <c r="U99" s="1100" t="s">
        <v>638</v>
      </c>
    </row>
    <row r="100" spans="3:21" ht="16" customHeight="1" thickTop="1" thickBot="1" x14ac:dyDescent="0.4">
      <c r="C100" s="297"/>
      <c r="D100" s="298" t="s">
        <v>403</v>
      </c>
      <c r="E100" s="297"/>
      <c r="F100" s="299"/>
      <c r="G100" s="300">
        <f>SUM(G78:G99)</f>
        <v>0</v>
      </c>
      <c r="H100" s="300">
        <f t="shared" ref="H100:S100" si="57">SUM(H78:H99)</f>
        <v>0</v>
      </c>
      <c r="I100" s="300">
        <f t="shared" si="57"/>
        <v>0</v>
      </c>
      <c r="J100" s="300">
        <f t="shared" si="57"/>
        <v>0</v>
      </c>
      <c r="K100" s="300">
        <f t="shared" si="57"/>
        <v>0</v>
      </c>
      <c r="L100" s="300">
        <f t="shared" si="57"/>
        <v>0</v>
      </c>
      <c r="M100" s="300">
        <f t="shared" si="57"/>
        <v>0</v>
      </c>
      <c r="N100" s="300">
        <f t="shared" si="57"/>
        <v>0</v>
      </c>
      <c r="O100" s="300">
        <f t="shared" si="57"/>
        <v>0</v>
      </c>
      <c r="P100" s="300">
        <f t="shared" si="57"/>
        <v>0</v>
      </c>
      <c r="Q100" s="300">
        <f t="shared" si="57"/>
        <v>0</v>
      </c>
      <c r="R100" s="300">
        <f t="shared" si="57"/>
        <v>0</v>
      </c>
      <c r="S100" s="300">
        <f t="shared" si="57"/>
        <v>0</v>
      </c>
      <c r="U100" s="1101"/>
    </row>
    <row r="101" spans="3:21" ht="16" customHeight="1" thickTop="1" x14ac:dyDescent="0.35">
      <c r="U101" s="1101"/>
    </row>
    <row r="102" spans="3:21" ht="16" customHeight="1" x14ac:dyDescent="0.35">
      <c r="C102" s="452" t="s">
        <v>404</v>
      </c>
      <c r="D102" s="474"/>
      <c r="E102" s="475"/>
      <c r="F102" s="476"/>
      <c r="G102" s="477">
        <f>G65</f>
        <v>46388</v>
      </c>
      <c r="H102" s="477">
        <f t="shared" ref="H102:R102" si="58">H65</f>
        <v>46419</v>
      </c>
      <c r="I102" s="477">
        <f t="shared" si="58"/>
        <v>46450</v>
      </c>
      <c r="J102" s="477">
        <f t="shared" si="58"/>
        <v>46481</v>
      </c>
      <c r="K102" s="477">
        <f t="shared" si="58"/>
        <v>46512</v>
      </c>
      <c r="L102" s="477">
        <f t="shared" si="58"/>
        <v>46543</v>
      </c>
      <c r="M102" s="477">
        <f t="shared" si="58"/>
        <v>46574</v>
      </c>
      <c r="N102" s="477">
        <f t="shared" si="58"/>
        <v>46605</v>
      </c>
      <c r="O102" s="477">
        <f t="shared" si="58"/>
        <v>46636</v>
      </c>
      <c r="P102" s="477">
        <f t="shared" si="58"/>
        <v>46667</v>
      </c>
      <c r="Q102" s="477">
        <f t="shared" si="58"/>
        <v>46698</v>
      </c>
      <c r="R102" s="477">
        <f t="shared" si="58"/>
        <v>46729</v>
      </c>
      <c r="S102" s="457" t="s">
        <v>287</v>
      </c>
      <c r="T102" s="478" t="s">
        <v>637</v>
      </c>
      <c r="U102" s="1102"/>
    </row>
    <row r="103" spans="3:21" ht="16" customHeight="1" x14ac:dyDescent="0.35">
      <c r="C103" s="53" t="s">
        <v>312</v>
      </c>
      <c r="D103" s="53" t="s">
        <v>405</v>
      </c>
      <c r="E103" s="53"/>
      <c r="F103" s="142"/>
      <c r="G103" s="864">
        <f>$U$103/12</f>
        <v>0</v>
      </c>
      <c r="H103" s="864">
        <f t="shared" ref="H103:R103" si="59">$U$103/12</f>
        <v>0</v>
      </c>
      <c r="I103" s="864">
        <f t="shared" si="59"/>
        <v>0</v>
      </c>
      <c r="J103" s="864">
        <f t="shared" si="59"/>
        <v>0</v>
      </c>
      <c r="K103" s="864">
        <f t="shared" si="59"/>
        <v>0</v>
      </c>
      <c r="L103" s="864">
        <f t="shared" si="59"/>
        <v>0</v>
      </c>
      <c r="M103" s="864">
        <f t="shared" si="59"/>
        <v>0</v>
      </c>
      <c r="N103" s="864">
        <f t="shared" si="59"/>
        <v>0</v>
      </c>
      <c r="O103" s="864">
        <f t="shared" si="59"/>
        <v>0</v>
      </c>
      <c r="P103" s="864">
        <f t="shared" si="59"/>
        <v>0</v>
      </c>
      <c r="Q103" s="864">
        <f t="shared" si="59"/>
        <v>0</v>
      </c>
      <c r="R103" s="864">
        <f t="shared" si="59"/>
        <v>0</v>
      </c>
      <c r="S103" s="162">
        <f>SUM(G103:R103)</f>
        <v>0</v>
      </c>
      <c r="T103" s="240">
        <f>U103-S103</f>
        <v>0</v>
      </c>
      <c r="U103" s="661">
        <f>'4 LAINAT'!J20+'4 LAINAT'!L20+'4 LAINAT'!K46+'4 LAINAT'!L46</f>
        <v>0</v>
      </c>
    </row>
    <row r="104" spans="3:21" ht="16" customHeight="1" x14ac:dyDescent="0.35">
      <c r="C104" s="53" t="s">
        <v>313</v>
      </c>
      <c r="D104" s="53" t="s">
        <v>406</v>
      </c>
      <c r="E104" s="53"/>
      <c r="F104" s="142"/>
      <c r="G104" s="864">
        <f>U104</f>
        <v>0</v>
      </c>
      <c r="H104" s="864"/>
      <c r="I104" s="864"/>
      <c r="J104" s="864"/>
      <c r="K104" s="864"/>
      <c r="L104" s="864"/>
      <c r="M104" s="864"/>
      <c r="N104" s="864"/>
      <c r="O104" s="864"/>
      <c r="P104" s="864"/>
      <c r="Q104" s="864"/>
      <c r="R104" s="864"/>
      <c r="S104" s="162">
        <f t="shared" ref="S104:S108" si="60">SUM(G104:R104)</f>
        <v>0</v>
      </c>
      <c r="T104" s="240">
        <f>U104-S104</f>
        <v>0</v>
      </c>
      <c r="U104" s="661">
        <f>'4 LAINAT'!J40+'4 LAINAT'!J46</f>
        <v>0</v>
      </c>
    </row>
    <row r="105" spans="3:21" ht="16" customHeight="1" x14ac:dyDescent="0.35">
      <c r="C105" s="53" t="s">
        <v>328</v>
      </c>
      <c r="D105" s="53" t="s">
        <v>407</v>
      </c>
      <c r="E105" s="53"/>
      <c r="F105" s="142"/>
      <c r="G105" s="864"/>
      <c r="H105" s="864"/>
      <c r="I105" s="864"/>
      <c r="J105" s="864"/>
      <c r="K105" s="864"/>
      <c r="L105" s="864">
        <f>$U$105/2</f>
        <v>0</v>
      </c>
      <c r="M105" s="864"/>
      <c r="N105" s="864"/>
      <c r="O105" s="864"/>
      <c r="P105" s="864"/>
      <c r="Q105" s="864"/>
      <c r="R105" s="864">
        <f>$U$105/2</f>
        <v>0</v>
      </c>
      <c r="S105" s="162">
        <f t="shared" si="60"/>
        <v>0</v>
      </c>
      <c r="T105" s="240">
        <f>U105-S105</f>
        <v>0</v>
      </c>
      <c r="U105" s="661">
        <f>'4 LAINAT'!J19+'4 LAINAT'!K40</f>
        <v>0</v>
      </c>
    </row>
    <row r="106" spans="3:21" ht="16" customHeight="1" x14ac:dyDescent="0.35">
      <c r="C106" s="53" t="s">
        <v>329</v>
      </c>
      <c r="D106" s="53" t="s">
        <v>408</v>
      </c>
      <c r="E106" s="53"/>
      <c r="F106" s="142"/>
      <c r="G106" s="864">
        <f>'8 RAHOITUSSUUNNITELMA'!I34</f>
        <v>0</v>
      </c>
      <c r="H106" s="864"/>
      <c r="I106" s="864"/>
      <c r="J106" s="864"/>
      <c r="K106" s="864"/>
      <c r="L106" s="864"/>
      <c r="M106" s="864"/>
      <c r="N106" s="864"/>
      <c r="O106" s="864"/>
      <c r="P106" s="864"/>
      <c r="Q106" s="864"/>
      <c r="R106" s="864"/>
      <c r="S106" s="162">
        <f>SUM(G106:R106)</f>
        <v>0</v>
      </c>
    </row>
    <row r="107" spans="3:21" ht="16" customHeight="1" x14ac:dyDescent="0.35">
      <c r="C107" s="53" t="s">
        <v>330</v>
      </c>
      <c r="D107" s="53" t="s">
        <v>281</v>
      </c>
      <c r="E107" s="53"/>
      <c r="F107" s="142"/>
      <c r="G107" s="864">
        <f>U107</f>
        <v>0</v>
      </c>
      <c r="H107" s="864"/>
      <c r="I107" s="864"/>
      <c r="J107" s="864"/>
      <c r="K107" s="864"/>
      <c r="L107" s="864"/>
      <c r="M107" s="864"/>
      <c r="N107" s="864"/>
      <c r="O107" s="864"/>
      <c r="P107" s="864"/>
      <c r="Q107" s="864"/>
      <c r="R107" s="864"/>
      <c r="S107" s="162">
        <f t="shared" si="60"/>
        <v>0</v>
      </c>
      <c r="T107" s="240">
        <f>U107-S107</f>
        <v>0</v>
      </c>
      <c r="U107" s="661">
        <f>'1 INVESTOINTISUUNNITELMA'!F48+'1 INVESTOINTISUUNNITELMA'!F49+'1 INVESTOINTISUUNNITELMA'!F52</f>
        <v>0</v>
      </c>
    </row>
    <row r="108" spans="3:21" ht="16" customHeight="1" thickBot="1" x14ac:dyDescent="0.4">
      <c r="C108" s="103" t="s">
        <v>331</v>
      </c>
      <c r="D108" s="103" t="s">
        <v>409</v>
      </c>
      <c r="E108" s="103"/>
      <c r="F108" s="159"/>
      <c r="G108" s="867">
        <f>U108</f>
        <v>0</v>
      </c>
      <c r="H108" s="867"/>
      <c r="I108" s="867"/>
      <c r="J108" s="867"/>
      <c r="K108" s="867"/>
      <c r="L108" s="867"/>
      <c r="M108" s="867"/>
      <c r="N108" s="867"/>
      <c r="O108" s="867"/>
      <c r="P108" s="867"/>
      <c r="Q108" s="867"/>
      <c r="R108" s="867"/>
      <c r="S108" s="295">
        <f t="shared" si="60"/>
        <v>0</v>
      </c>
      <c r="T108" s="240">
        <f>U108-S108</f>
        <v>0</v>
      </c>
      <c r="U108" s="661">
        <f>'1 INVESTOINTISUUNNITELMA'!F51</f>
        <v>0</v>
      </c>
    </row>
    <row r="109" spans="3:21" ht="16" customHeight="1" thickTop="1" thickBot="1" x14ac:dyDescent="0.4">
      <c r="C109" s="297"/>
      <c r="D109" s="298" t="s">
        <v>410</v>
      </c>
      <c r="E109" s="297"/>
      <c r="F109" s="299"/>
      <c r="G109" s="300">
        <f>-G103+G104-G105-G106+G107+G108</f>
        <v>0</v>
      </c>
      <c r="H109" s="300">
        <f t="shared" ref="H109:S109" si="61">-H103+H104-H105-H106+H107+H108</f>
        <v>0</v>
      </c>
      <c r="I109" s="300">
        <f t="shared" si="61"/>
        <v>0</v>
      </c>
      <c r="J109" s="300">
        <f t="shared" si="61"/>
        <v>0</v>
      </c>
      <c r="K109" s="300">
        <f t="shared" si="61"/>
        <v>0</v>
      </c>
      <c r="L109" s="300">
        <f t="shared" si="61"/>
        <v>0</v>
      </c>
      <c r="M109" s="300">
        <f t="shared" si="61"/>
        <v>0</v>
      </c>
      <c r="N109" s="300">
        <f t="shared" si="61"/>
        <v>0</v>
      </c>
      <c r="O109" s="300">
        <f t="shared" si="61"/>
        <v>0</v>
      </c>
      <c r="P109" s="300">
        <f t="shared" si="61"/>
        <v>0</v>
      </c>
      <c r="Q109" s="300">
        <f t="shared" si="61"/>
        <v>0</v>
      </c>
      <c r="R109" s="300">
        <f t="shared" si="61"/>
        <v>0</v>
      </c>
      <c r="S109" s="300">
        <f t="shared" si="61"/>
        <v>0</v>
      </c>
    </row>
    <row r="110" spans="3:21" ht="16" customHeight="1" thickTop="1" x14ac:dyDescent="0.35"/>
    <row r="111" spans="3:21" ht="16" customHeight="1" x14ac:dyDescent="0.35">
      <c r="C111" s="667" t="s">
        <v>332</v>
      </c>
      <c r="D111" s="668" t="s">
        <v>411</v>
      </c>
      <c r="E111" s="669"/>
      <c r="F111" s="670"/>
      <c r="G111" s="671">
        <f>G75-G100+G109</f>
        <v>0</v>
      </c>
      <c r="H111" s="671">
        <f t="shared" ref="H111:S111" si="62">H75-H100+H109</f>
        <v>0</v>
      </c>
      <c r="I111" s="671">
        <f t="shared" si="62"/>
        <v>0</v>
      </c>
      <c r="J111" s="671">
        <f t="shared" si="62"/>
        <v>0</v>
      </c>
      <c r="K111" s="671">
        <f t="shared" si="62"/>
        <v>0</v>
      </c>
      <c r="L111" s="671">
        <f t="shared" si="62"/>
        <v>0</v>
      </c>
      <c r="M111" s="671">
        <f t="shared" si="62"/>
        <v>0</v>
      </c>
      <c r="N111" s="671">
        <f t="shared" si="62"/>
        <v>0</v>
      </c>
      <c r="O111" s="671">
        <f t="shared" si="62"/>
        <v>0</v>
      </c>
      <c r="P111" s="671">
        <f t="shared" si="62"/>
        <v>0</v>
      </c>
      <c r="Q111" s="671">
        <f t="shared" si="62"/>
        <v>0</v>
      </c>
      <c r="R111" s="671">
        <f t="shared" si="62"/>
        <v>0</v>
      </c>
      <c r="S111" s="671">
        <f t="shared" si="62"/>
        <v>0</v>
      </c>
    </row>
    <row r="112" spans="3:21" ht="16" customHeight="1" x14ac:dyDescent="0.35">
      <c r="C112" s="667" t="s">
        <v>333</v>
      </c>
      <c r="D112" s="668" t="s">
        <v>412</v>
      </c>
      <c r="E112" s="669"/>
      <c r="F112" s="670"/>
      <c r="G112" s="290">
        <f>G66+G111+G67</f>
        <v>0</v>
      </c>
      <c r="H112" s="170">
        <f t="shared" ref="H112:K112" si="63">H66+H111+H67</f>
        <v>0</v>
      </c>
      <c r="I112" s="170">
        <f t="shared" si="63"/>
        <v>0</v>
      </c>
      <c r="J112" s="170">
        <f t="shared" si="63"/>
        <v>0</v>
      </c>
      <c r="K112" s="170">
        <f t="shared" si="63"/>
        <v>0</v>
      </c>
      <c r="L112" s="170">
        <f>L66+L111+L67</f>
        <v>0</v>
      </c>
      <c r="M112" s="170">
        <f>M66+M111+M67</f>
        <v>0</v>
      </c>
      <c r="N112" s="170">
        <f t="shared" ref="N112:Q112" si="64">N66+N111+N67</f>
        <v>0</v>
      </c>
      <c r="O112" s="170">
        <f t="shared" si="64"/>
        <v>0</v>
      </c>
      <c r="P112" s="170">
        <f t="shared" si="64"/>
        <v>0</v>
      </c>
      <c r="Q112" s="170">
        <f t="shared" si="64"/>
        <v>0</v>
      </c>
      <c r="R112" s="170">
        <f>R66+R111+R67</f>
        <v>0</v>
      </c>
      <c r="S112" s="129"/>
    </row>
    <row r="117" spans="4:4" ht="16" customHeight="1" x14ac:dyDescent="0.35">
      <c r="D117" s="197" t="s">
        <v>578</v>
      </c>
    </row>
    <row r="118" spans="4:4" ht="16" customHeight="1" x14ac:dyDescent="0.35">
      <c r="D118" s="984" t="s">
        <v>579</v>
      </c>
    </row>
    <row r="119" spans="4:4" ht="16" customHeight="1" x14ac:dyDescent="0.35">
      <c r="D119" s="984"/>
    </row>
    <row r="120" spans="4:4" ht="16" customHeight="1" x14ac:dyDescent="0.35">
      <c r="D120" s="984"/>
    </row>
  </sheetData>
  <sheetProtection algorithmName="SHA-512" hashValue="mwPmI3N5eDU0/w/A7hn6XUxGbdiTTmdKLwY5zHmhUbOq0w0QzuiOwpurHjb9h3zm//8ELfDeGAFNEzVrW1OY/w==" saltValue="P6TEtKgKCggLRkWnofQjvw==" spinCount="100000" sheet="1" objects="1" scenarios="1" formatCells="0" selectLockedCells="1"/>
  <mergeCells count="37">
    <mergeCell ref="AZ21:AZ22"/>
    <mergeCell ref="BK21:BK22"/>
    <mergeCell ref="C10:C11"/>
    <mergeCell ref="C22:C23"/>
    <mergeCell ref="U18:U21"/>
    <mergeCell ref="AP21:AP22"/>
    <mergeCell ref="AP19:AV19"/>
    <mergeCell ref="AQ21:AQ22"/>
    <mergeCell ref="AR21:AR22"/>
    <mergeCell ref="AS21:AS22"/>
    <mergeCell ref="AT21:AT22"/>
    <mergeCell ref="AU21:AU22"/>
    <mergeCell ref="AV21:AV22"/>
    <mergeCell ref="BM21:BM22"/>
    <mergeCell ref="D118:D120"/>
    <mergeCell ref="BK19:BM19"/>
    <mergeCell ref="BA21:BA22"/>
    <mergeCell ref="BB21:BB22"/>
    <mergeCell ref="BC21:BC22"/>
    <mergeCell ref="AW19:BC19"/>
    <mergeCell ref="BD19:BJ19"/>
    <mergeCell ref="BD21:BD22"/>
    <mergeCell ref="BE21:BE22"/>
    <mergeCell ref="BF21:BF22"/>
    <mergeCell ref="BG21:BG22"/>
    <mergeCell ref="BH21:BH22"/>
    <mergeCell ref="BI21:BI22"/>
    <mergeCell ref="BJ21:BJ22"/>
    <mergeCell ref="BL21:BL22"/>
    <mergeCell ref="C66:C67"/>
    <mergeCell ref="U74:U77"/>
    <mergeCell ref="C78:C79"/>
    <mergeCell ref="U99:U102"/>
    <mergeCell ref="AY21:AY22"/>
    <mergeCell ref="U43:U46"/>
    <mergeCell ref="AW21:AW22"/>
    <mergeCell ref="AX21:AX22"/>
  </mergeCells>
  <phoneticPr fontId="10" type="noConversion"/>
  <conditionalFormatting sqref="G56:R56">
    <cfRule type="cellIs" dxfId="18" priority="3" operator="greaterThan">
      <formula>0</formula>
    </cfRule>
    <cfRule type="cellIs" dxfId="17" priority="4" operator="lessThan">
      <formula>0</formula>
    </cfRule>
  </conditionalFormatting>
  <conditionalFormatting sqref="G112:R112">
    <cfRule type="cellIs" dxfId="16" priority="1" operator="greaterThan">
      <formula>0</formula>
    </cfRule>
    <cfRule type="cellIs" dxfId="15" priority="2" operator="lessThan">
      <formula>0</formula>
    </cfRule>
  </conditionalFormatting>
  <pageMargins left="0.7" right="0.7" top="0.75" bottom="0.75" header="0.3" footer="0.3"/>
  <ignoredErrors>
    <ignoredError sqref="S26:S31 C73:F78 C86:F88 C85:E85 C80:F84 C79:D79 F79 C91:F112 C89:E89 C90:E90" formulaRange="1"/>
    <ignoredError sqref="H45:T46 H33:R34 T32:T43 H40:R40 H42:R43 H13:L13 T44 H32:R32 M18 H15:L15 H14:R14 H18:L18 H19:R19 N18:R18 S69 S12 S68 S70 S71 G70:R70 S72 M74 M87 N88 H89:R89 H88:M88 O88:R88 S13 P13 P15 S14:S15" formula="1"/>
    <ignoredError sqref="S32:S43 G76:S77 H75:Q75 S73 S74 G80:S80 S78 J79:S79 G99:S99 S81 H82:S82 S83 S84 S85 S86 S87 S88 S89 S90 S91 S92 S93 S94 S95 H96:S96 S97 H98:S98 G110:S110 S103 H104:S104 G105:K105 M105:Q105 H106:S106 H107:S107 H108:S108 S105 G101:S102 H100:S100 H112:S112 H111:S111" formula="1" formulaRange="1"/>
  </ignoredErrors>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090AC-FFF8-4A70-8C8F-13610EF1861E}">
  <sheetPr codeName="Sheet8">
    <tabColor theme="7" tint="0.79998168889431442"/>
  </sheetPr>
  <dimension ref="A1:S71"/>
  <sheetViews>
    <sheetView workbookViewId="0">
      <selection activeCell="P10" sqref="P10"/>
    </sheetView>
  </sheetViews>
  <sheetFormatPr defaultColWidth="9.1796875" defaultRowHeight="14.5" x14ac:dyDescent="0.35"/>
  <cols>
    <col min="1" max="1" width="15.7265625" style="5" customWidth="1"/>
    <col min="2" max="2" width="45.7265625" style="5" customWidth="1"/>
    <col min="3" max="14" width="12.7265625" style="5" customWidth="1"/>
    <col min="15" max="15" width="9.1796875" style="5"/>
    <col min="16" max="16" width="30.7265625" style="5" customWidth="1"/>
    <col min="17" max="19" width="12.7265625" style="5" customWidth="1"/>
    <col min="20" max="16384" width="9.1796875" style="5"/>
  </cols>
  <sheetData>
    <row r="1" spans="1:19" ht="16.5" thickBot="1" x14ac:dyDescent="0.45">
      <c r="B1" s="357" t="s">
        <v>684</v>
      </c>
      <c r="C1" s="407">
        <f>'9 KASSABUDJETTI'!I6</f>
        <v>2026</v>
      </c>
    </row>
    <row r="2" spans="1:19" x14ac:dyDescent="0.35">
      <c r="A2" s="183"/>
      <c r="B2" s="479" t="s">
        <v>685</v>
      </c>
      <c r="C2" s="480">
        <f>'9 KASSABUDJETTI'!$G$9</f>
        <v>46023</v>
      </c>
      <c r="D2" s="480">
        <f>'9 KASSABUDJETTI'!H9</f>
        <v>46054</v>
      </c>
      <c r="E2" s="480">
        <f>'9 KASSABUDJETTI'!I9</f>
        <v>46085</v>
      </c>
      <c r="F2" s="480">
        <f>'9 KASSABUDJETTI'!J9</f>
        <v>46116</v>
      </c>
      <c r="G2" s="480">
        <f>'9 KASSABUDJETTI'!K9</f>
        <v>46147</v>
      </c>
      <c r="H2" s="480">
        <f>'9 KASSABUDJETTI'!L9</f>
        <v>46178</v>
      </c>
      <c r="I2" s="480">
        <f>'9 KASSABUDJETTI'!M9</f>
        <v>46209</v>
      </c>
      <c r="J2" s="480">
        <f>'9 KASSABUDJETTI'!N9</f>
        <v>46240</v>
      </c>
      <c r="K2" s="480">
        <f>'9 KASSABUDJETTI'!O9</f>
        <v>46271</v>
      </c>
      <c r="L2" s="480">
        <f>'9 KASSABUDJETTI'!P9</f>
        <v>46302</v>
      </c>
      <c r="M2" s="480">
        <f>'9 KASSABUDJETTI'!Q9</f>
        <v>46333</v>
      </c>
      <c r="N2" s="481">
        <f>'9 KASSABUDJETTI'!R9</f>
        <v>46364</v>
      </c>
      <c r="P2" s="483" t="s">
        <v>718</v>
      </c>
      <c r="Q2" s="480">
        <f>C2</f>
        <v>46023</v>
      </c>
      <c r="R2" s="480">
        <f t="shared" ref="R2:S2" si="0">D2</f>
        <v>46054</v>
      </c>
      <c r="S2" s="481">
        <f t="shared" si="0"/>
        <v>46085</v>
      </c>
    </row>
    <row r="3" spans="1:19" x14ac:dyDescent="0.35">
      <c r="A3" s="174"/>
      <c r="B3" s="96" t="s">
        <v>686</v>
      </c>
      <c r="C3" s="730">
        <f>'8 RAHOITUSSUUNNITELMA'!G47</f>
        <v>0</v>
      </c>
      <c r="D3" s="730">
        <f>C3</f>
        <v>0</v>
      </c>
      <c r="E3" s="730">
        <f t="shared" ref="E3:N3" si="1">D3</f>
        <v>0</v>
      </c>
      <c r="F3" s="730">
        <f t="shared" si="1"/>
        <v>0</v>
      </c>
      <c r="G3" s="730">
        <f t="shared" si="1"/>
        <v>0</v>
      </c>
      <c r="H3" s="730">
        <f t="shared" si="1"/>
        <v>0</v>
      </c>
      <c r="I3" s="730">
        <f t="shared" si="1"/>
        <v>0</v>
      </c>
      <c r="J3" s="730">
        <f t="shared" si="1"/>
        <v>0</v>
      </c>
      <c r="K3" s="730">
        <f t="shared" si="1"/>
        <v>0</v>
      </c>
      <c r="L3" s="730">
        <f t="shared" si="1"/>
        <v>0</v>
      </c>
      <c r="M3" s="730">
        <f t="shared" si="1"/>
        <v>0</v>
      </c>
      <c r="N3" s="731">
        <f t="shared" si="1"/>
        <v>0</v>
      </c>
      <c r="P3" s="362" t="s">
        <v>686</v>
      </c>
      <c r="Q3" s="730">
        <f>'8 RAHOITUSSUUNNITELMA'!G52</f>
        <v>0</v>
      </c>
      <c r="R3" s="730">
        <f>Q3</f>
        <v>0</v>
      </c>
      <c r="S3" s="731">
        <f>R3</f>
        <v>0</v>
      </c>
    </row>
    <row r="4" spans="1:19" x14ac:dyDescent="0.35">
      <c r="A4" s="174"/>
      <c r="B4" s="96" t="s">
        <v>687</v>
      </c>
      <c r="C4" s="356">
        <f>IF(C3=0,0,'3 TASE'!H39/C3)</f>
        <v>0</v>
      </c>
      <c r="D4" s="96"/>
      <c r="E4" s="96"/>
      <c r="F4" s="96"/>
      <c r="G4" s="96"/>
      <c r="H4" s="96"/>
      <c r="I4" s="96"/>
      <c r="J4" s="96"/>
      <c r="K4" s="96"/>
      <c r="L4" s="96"/>
      <c r="M4" s="96"/>
      <c r="N4" s="358"/>
      <c r="P4" s="362" t="s">
        <v>719</v>
      </c>
      <c r="Q4" s="356">
        <f>IF(Q3=0,0,'3 TASE'!$H$77/Q3)</f>
        <v>0</v>
      </c>
      <c r="R4" s="96"/>
      <c r="S4" s="358"/>
    </row>
    <row r="5" spans="1:19" x14ac:dyDescent="0.35">
      <c r="A5" s="174"/>
      <c r="B5" s="53" t="s">
        <v>688</v>
      </c>
      <c r="C5" s="151">
        <f>IF(C3&lt;31,C4*C3,0)</f>
        <v>0</v>
      </c>
      <c r="D5" s="151"/>
      <c r="E5" s="151"/>
      <c r="F5" s="151"/>
      <c r="G5" s="151"/>
      <c r="H5" s="151"/>
      <c r="I5" s="151"/>
      <c r="J5" s="151"/>
      <c r="K5" s="151"/>
      <c r="L5" s="151"/>
      <c r="M5" s="151"/>
      <c r="N5" s="177"/>
      <c r="P5" s="198" t="s">
        <v>688</v>
      </c>
      <c r="Q5" s="151">
        <f>IF(Q3&lt;31,Q4*Q3,0)</f>
        <v>0</v>
      </c>
      <c r="R5" s="151"/>
      <c r="S5" s="177"/>
    </row>
    <row r="6" spans="1:19" x14ac:dyDescent="0.35">
      <c r="A6" s="174"/>
      <c r="B6" s="53" t="s">
        <v>689</v>
      </c>
      <c r="C6" s="151">
        <f>IF(C$3&lt;31,0,IF(C$3&lt;61,30*C$4,0))</f>
        <v>0</v>
      </c>
      <c r="D6" s="151">
        <f>IF(D$3&lt;31,0,IF(D$3&lt;61,$C$4*(30-(60-$C$3)),0))</f>
        <v>0</v>
      </c>
      <c r="E6" s="151"/>
      <c r="F6" s="151"/>
      <c r="G6" s="151"/>
      <c r="H6" s="151"/>
      <c r="I6" s="151"/>
      <c r="J6" s="151"/>
      <c r="K6" s="151"/>
      <c r="L6" s="151"/>
      <c r="M6" s="151"/>
      <c r="N6" s="177"/>
      <c r="P6" s="198" t="s">
        <v>689</v>
      </c>
      <c r="Q6" s="151">
        <f>IF(Q$3&lt;31,0,IF(Q$3&lt;61,30*Q$4,0))</f>
        <v>0</v>
      </c>
      <c r="R6" s="151">
        <f>IF(R$3&lt;31,0,IF(R$3&lt;61,$Q$4*(30-(60-$Q$3)),0))</f>
        <v>0</v>
      </c>
      <c r="S6" s="177"/>
    </row>
    <row r="7" spans="1:19" x14ac:dyDescent="0.35">
      <c r="A7" s="174"/>
      <c r="B7" s="53" t="s">
        <v>690</v>
      </c>
      <c r="C7" s="151">
        <f>IF(C$3&lt;31,0,IF(C$3&lt;61,30*C$4,0))</f>
        <v>0</v>
      </c>
      <c r="D7" s="151">
        <f>C7</f>
        <v>0</v>
      </c>
      <c r="E7" s="151">
        <f>IF(E$3&lt;61,0,IF(E$3&lt;91,$C$4*(30-(90-$C$3)),0))</f>
        <v>0</v>
      </c>
      <c r="F7" s="151"/>
      <c r="G7" s="151"/>
      <c r="H7" s="151"/>
      <c r="I7" s="151"/>
      <c r="J7" s="151"/>
      <c r="K7" s="151"/>
      <c r="L7" s="151"/>
      <c r="M7" s="151"/>
      <c r="N7" s="177"/>
      <c r="P7" s="198" t="s">
        <v>690</v>
      </c>
      <c r="Q7" s="151">
        <f>IF(Q$3&lt;61,0,IF(Q$3&lt;91,30*Q$4,0))</f>
        <v>0</v>
      </c>
      <c r="R7" s="151">
        <f>Q7</f>
        <v>0</v>
      </c>
      <c r="S7" s="177">
        <f>IF(S$3&lt;61,0,IF(S$3&lt;91,$Q$4*(30-(90-$Q$3)),0))</f>
        <v>0</v>
      </c>
    </row>
    <row r="8" spans="1:19" ht="15" thickBot="1" x14ac:dyDescent="0.4">
      <c r="A8" s="174"/>
      <c r="B8" s="53" t="s">
        <v>691</v>
      </c>
      <c r="C8" s="151">
        <f>IF(C$3&lt;31,0,IF(C$3&lt;61,30*C$4,0))</f>
        <v>0</v>
      </c>
      <c r="D8" s="151">
        <f t="shared" ref="D8:E10" si="2">C8</f>
        <v>0</v>
      </c>
      <c r="E8" s="151">
        <f>D8</f>
        <v>0</v>
      </c>
      <c r="F8" s="151">
        <f>IF(F$3&lt;91,0,IF(F$3&lt;121,$C$4*(30-(120-$C$3)),0))</f>
        <v>0</v>
      </c>
      <c r="G8" s="151"/>
      <c r="H8" s="151"/>
      <c r="I8" s="151"/>
      <c r="J8" s="151"/>
      <c r="K8" s="151"/>
      <c r="L8" s="151"/>
      <c r="M8" s="151"/>
      <c r="N8" s="177"/>
      <c r="P8" s="199"/>
      <c r="Q8" s="181">
        <f>SUM(Q5:Q7)</f>
        <v>0</v>
      </c>
      <c r="R8" s="181">
        <f>SUM(R5:R7)</f>
        <v>0</v>
      </c>
      <c r="S8" s="182">
        <f>SUM(S5:S7)</f>
        <v>0</v>
      </c>
    </row>
    <row r="9" spans="1:19" x14ac:dyDescent="0.35">
      <c r="A9" s="174"/>
      <c r="B9" s="53" t="s">
        <v>692</v>
      </c>
      <c r="C9" s="151">
        <f>IF(C$3&lt;31,0,IF(C$3&lt;61,30*C$4,0))</f>
        <v>0</v>
      </c>
      <c r="D9" s="151">
        <f t="shared" si="2"/>
        <v>0</v>
      </c>
      <c r="E9" s="151">
        <f t="shared" si="2"/>
        <v>0</v>
      </c>
      <c r="F9" s="151">
        <f>E9</f>
        <v>0</v>
      </c>
      <c r="G9" s="151">
        <f>IF(G$3&lt;121,0,IF(G$3&lt;151,$C$4*(30-(150-$C$3)),0))</f>
        <v>0</v>
      </c>
      <c r="H9" s="151"/>
      <c r="I9" s="151"/>
      <c r="J9" s="151"/>
      <c r="K9" s="151"/>
      <c r="L9" s="151"/>
      <c r="M9" s="151"/>
      <c r="N9" s="177"/>
    </row>
    <row r="10" spans="1:19" x14ac:dyDescent="0.35">
      <c r="A10" s="174"/>
      <c r="B10" s="53" t="s">
        <v>693</v>
      </c>
      <c r="C10" s="151">
        <f>IF(C$3&lt;31,0,IF(C$3&lt;61,30*C$4,0))</f>
        <v>0</v>
      </c>
      <c r="D10" s="151">
        <f t="shared" si="2"/>
        <v>0</v>
      </c>
      <c r="E10" s="151">
        <f t="shared" si="2"/>
        <v>0</v>
      </c>
      <c r="F10" s="151">
        <f>E10</f>
        <v>0</v>
      </c>
      <c r="G10" s="151">
        <f>F10</f>
        <v>0</v>
      </c>
      <c r="H10" s="151">
        <f>IF(H$3&lt;151,0,IF(H$3&lt;181,$C$4*(30-(180-$C$3)),0))</f>
        <v>0</v>
      </c>
      <c r="I10" s="151"/>
      <c r="J10" s="151"/>
      <c r="K10" s="151"/>
      <c r="L10" s="151"/>
      <c r="M10" s="151"/>
      <c r="N10" s="177"/>
    </row>
    <row r="11" spans="1:19" x14ac:dyDescent="0.35">
      <c r="A11" s="321"/>
      <c r="B11" s="96" t="s">
        <v>83</v>
      </c>
      <c r="C11" s="162">
        <f>SUM(C5:C10)</f>
        <v>0</v>
      </c>
      <c r="D11" s="162">
        <f t="shared" ref="D11:H11" si="3">SUM(D5:D10)</f>
        <v>0</v>
      </c>
      <c r="E11" s="162">
        <f t="shared" si="3"/>
        <v>0</v>
      </c>
      <c r="F11" s="162">
        <f t="shared" si="3"/>
        <v>0</v>
      </c>
      <c r="G11" s="162">
        <f t="shared" si="3"/>
        <v>0</v>
      </c>
      <c r="H11" s="162">
        <f t="shared" si="3"/>
        <v>0</v>
      </c>
      <c r="I11" s="162"/>
      <c r="J11" s="162"/>
      <c r="K11" s="162"/>
      <c r="L11" s="162"/>
      <c r="M11" s="162"/>
      <c r="N11" s="245"/>
    </row>
    <row r="12" spans="1:19" x14ac:dyDescent="0.35">
      <c r="A12" s="195"/>
      <c r="B12" s="423" t="s">
        <v>694</v>
      </c>
      <c r="C12" s="477">
        <f>C2</f>
        <v>46023</v>
      </c>
      <c r="D12" s="477">
        <f t="shared" ref="D12:N12" si="4">D2</f>
        <v>46054</v>
      </c>
      <c r="E12" s="477">
        <f t="shared" si="4"/>
        <v>46085</v>
      </c>
      <c r="F12" s="477">
        <f t="shared" si="4"/>
        <v>46116</v>
      </c>
      <c r="G12" s="477">
        <f t="shared" si="4"/>
        <v>46147</v>
      </c>
      <c r="H12" s="477">
        <f t="shared" si="4"/>
        <v>46178</v>
      </c>
      <c r="I12" s="477">
        <f t="shared" si="4"/>
        <v>46209</v>
      </c>
      <c r="J12" s="477">
        <f t="shared" si="4"/>
        <v>46240</v>
      </c>
      <c r="K12" s="477">
        <f t="shared" si="4"/>
        <v>46271</v>
      </c>
      <c r="L12" s="477">
        <f t="shared" si="4"/>
        <v>46302</v>
      </c>
      <c r="M12" s="477">
        <f t="shared" si="4"/>
        <v>46333</v>
      </c>
      <c r="N12" s="482">
        <f t="shared" si="4"/>
        <v>46364</v>
      </c>
    </row>
    <row r="13" spans="1:19" x14ac:dyDescent="0.35">
      <c r="A13" s="195" t="s">
        <v>712</v>
      </c>
      <c r="B13" s="96" t="s">
        <v>695</v>
      </c>
      <c r="C13" s="729">
        <f>'9 KASSABUDJETTI'!E16</f>
        <v>0</v>
      </c>
      <c r="D13" s="729">
        <f>C13</f>
        <v>0</v>
      </c>
      <c r="E13" s="729">
        <f t="shared" ref="E13:N13" si="5">D13</f>
        <v>0</v>
      </c>
      <c r="F13" s="729">
        <f t="shared" si="5"/>
        <v>0</v>
      </c>
      <c r="G13" s="729">
        <f t="shared" si="5"/>
        <v>0</v>
      </c>
      <c r="H13" s="729">
        <f t="shared" si="5"/>
        <v>0</v>
      </c>
      <c r="I13" s="729">
        <f t="shared" si="5"/>
        <v>0</v>
      </c>
      <c r="J13" s="729">
        <f t="shared" si="5"/>
        <v>0</v>
      </c>
      <c r="K13" s="729">
        <f t="shared" si="5"/>
        <v>0</v>
      </c>
      <c r="L13" s="729">
        <f t="shared" si="5"/>
        <v>0</v>
      </c>
      <c r="M13" s="729">
        <f t="shared" si="5"/>
        <v>0</v>
      </c>
      <c r="N13" s="732">
        <f t="shared" si="5"/>
        <v>0</v>
      </c>
    </row>
    <row r="14" spans="1:19" x14ac:dyDescent="0.35">
      <c r="A14" s="195"/>
      <c r="B14" s="96" t="s">
        <v>696</v>
      </c>
      <c r="C14" s="162">
        <f>'9 KASSABUDJETTI'!G14</f>
        <v>0</v>
      </c>
      <c r="D14" s="162">
        <f>'9 KASSABUDJETTI'!H14</f>
        <v>0</v>
      </c>
      <c r="E14" s="162">
        <f>'9 KASSABUDJETTI'!I14</f>
        <v>0</v>
      </c>
      <c r="F14" s="162">
        <f>'9 KASSABUDJETTI'!J14</f>
        <v>0</v>
      </c>
      <c r="G14" s="162">
        <f>'9 KASSABUDJETTI'!K14</f>
        <v>0</v>
      </c>
      <c r="H14" s="162">
        <f>'9 KASSABUDJETTI'!L14</f>
        <v>0</v>
      </c>
      <c r="I14" s="162">
        <f>'9 KASSABUDJETTI'!M14</f>
        <v>0</v>
      </c>
      <c r="J14" s="162">
        <f>'9 KASSABUDJETTI'!N14</f>
        <v>0</v>
      </c>
      <c r="K14" s="162">
        <f>'9 KASSABUDJETTI'!O14</f>
        <v>0</v>
      </c>
      <c r="L14" s="162">
        <f>'9 KASSABUDJETTI'!P14</f>
        <v>0</v>
      </c>
      <c r="M14" s="162">
        <f>'9 KASSABUDJETTI'!Q14</f>
        <v>0</v>
      </c>
      <c r="N14" s="245">
        <f>'9 KASSABUDJETTI'!R14</f>
        <v>0</v>
      </c>
    </row>
    <row r="15" spans="1:19" x14ac:dyDescent="0.35">
      <c r="A15" s="360" t="s">
        <v>697</v>
      </c>
      <c r="B15" s="169" t="s">
        <v>698</v>
      </c>
      <c r="C15" s="170">
        <f>IF(C$13&lt;31,C14*(30-C13)/30,0)</f>
        <v>0</v>
      </c>
      <c r="D15" s="170">
        <f t="shared" ref="D15:N15" si="6">IF(D$13&lt;31,D14*(30-D13)/30,0)</f>
        <v>0</v>
      </c>
      <c r="E15" s="170">
        <f t="shared" si="6"/>
        <v>0</v>
      </c>
      <c r="F15" s="170">
        <f t="shared" si="6"/>
        <v>0</v>
      </c>
      <c r="G15" s="170">
        <f t="shared" si="6"/>
        <v>0</v>
      </c>
      <c r="H15" s="170">
        <f t="shared" si="6"/>
        <v>0</v>
      </c>
      <c r="I15" s="170">
        <f t="shared" si="6"/>
        <v>0</v>
      </c>
      <c r="J15" s="170">
        <f t="shared" si="6"/>
        <v>0</v>
      </c>
      <c r="K15" s="170">
        <f t="shared" si="6"/>
        <v>0</v>
      </c>
      <c r="L15" s="170">
        <f t="shared" si="6"/>
        <v>0</v>
      </c>
      <c r="M15" s="170">
        <f t="shared" si="6"/>
        <v>0</v>
      </c>
      <c r="N15" s="361">
        <f t="shared" si="6"/>
        <v>0</v>
      </c>
    </row>
    <row r="16" spans="1:19" x14ac:dyDescent="0.35">
      <c r="A16" s="174" t="s">
        <v>699</v>
      </c>
      <c r="B16" s="53" t="s">
        <v>700</v>
      </c>
      <c r="C16" s="151">
        <f>IF(C13&gt;30,0,C14-C15)</f>
        <v>0</v>
      </c>
      <c r="D16" s="151">
        <f t="shared" ref="D16:M16" si="7">IF(D13&gt;30,0,D14-D15)</f>
        <v>0</v>
      </c>
      <c r="E16" s="151">
        <f t="shared" si="7"/>
        <v>0</v>
      </c>
      <c r="F16" s="151">
        <f t="shared" si="7"/>
        <v>0</v>
      </c>
      <c r="G16" s="151">
        <f t="shared" si="7"/>
        <v>0</v>
      </c>
      <c r="H16" s="151">
        <f t="shared" si="7"/>
        <v>0</v>
      </c>
      <c r="I16" s="151">
        <f t="shared" si="7"/>
        <v>0</v>
      </c>
      <c r="J16" s="151">
        <f t="shared" si="7"/>
        <v>0</v>
      </c>
      <c r="K16" s="151">
        <f t="shared" si="7"/>
        <v>0</v>
      </c>
      <c r="L16" s="151">
        <f t="shared" si="7"/>
        <v>0</v>
      </c>
      <c r="M16" s="151">
        <f t="shared" si="7"/>
        <v>0</v>
      </c>
      <c r="N16" s="177">
        <f>IF(N13&gt;30,0,N14-N15)</f>
        <v>0</v>
      </c>
    </row>
    <row r="17" spans="1:14" x14ac:dyDescent="0.35">
      <c r="A17" s="360" t="s">
        <v>699</v>
      </c>
      <c r="B17" s="169" t="s">
        <v>700</v>
      </c>
      <c r="C17" s="170">
        <f>IF(C$13&lt;31,0,IF(C$13&gt;60,0,C$14*(60-C$13))/30)</f>
        <v>0</v>
      </c>
      <c r="D17" s="170">
        <f t="shared" ref="D17:N17" si="8">IF(D$13&lt;31,0,IF(D$13&gt;60,0,D$14*(60-D$13))/30)</f>
        <v>0</v>
      </c>
      <c r="E17" s="170">
        <f t="shared" si="8"/>
        <v>0</v>
      </c>
      <c r="F17" s="170">
        <f t="shared" si="8"/>
        <v>0</v>
      </c>
      <c r="G17" s="170">
        <f t="shared" si="8"/>
        <v>0</v>
      </c>
      <c r="H17" s="170">
        <f t="shared" si="8"/>
        <v>0</v>
      </c>
      <c r="I17" s="170">
        <f t="shared" si="8"/>
        <v>0</v>
      </c>
      <c r="J17" s="170">
        <f t="shared" si="8"/>
        <v>0</v>
      </c>
      <c r="K17" s="170">
        <f t="shared" si="8"/>
        <v>0</v>
      </c>
      <c r="L17" s="170">
        <f t="shared" si="8"/>
        <v>0</v>
      </c>
      <c r="M17" s="170">
        <f t="shared" si="8"/>
        <v>0</v>
      </c>
      <c r="N17" s="361">
        <f t="shared" si="8"/>
        <v>0</v>
      </c>
    </row>
    <row r="18" spans="1:14" x14ac:dyDescent="0.35">
      <c r="A18" s="174" t="s">
        <v>701</v>
      </c>
      <c r="B18" s="53" t="s">
        <v>702</v>
      </c>
      <c r="C18" s="151">
        <f>IF(C$13&lt;31,0,IF(C$13&gt;60,0,C14-C17))</f>
        <v>0</v>
      </c>
      <c r="D18" s="151">
        <f t="shared" ref="D18:M18" si="9">IF(D$13&lt;31,0,IF(D$13&gt;60,0,D14-D17))</f>
        <v>0</v>
      </c>
      <c r="E18" s="151">
        <f t="shared" si="9"/>
        <v>0</v>
      </c>
      <c r="F18" s="151">
        <f t="shared" si="9"/>
        <v>0</v>
      </c>
      <c r="G18" s="151">
        <f t="shared" si="9"/>
        <v>0</v>
      </c>
      <c r="H18" s="151">
        <f t="shared" si="9"/>
        <v>0</v>
      </c>
      <c r="I18" s="151">
        <f t="shared" si="9"/>
        <v>0</v>
      </c>
      <c r="J18" s="151">
        <f t="shared" si="9"/>
        <v>0</v>
      </c>
      <c r="K18" s="151">
        <f t="shared" si="9"/>
        <v>0</v>
      </c>
      <c r="L18" s="151">
        <f t="shared" si="9"/>
        <v>0</v>
      </c>
      <c r="M18" s="151">
        <f t="shared" si="9"/>
        <v>0</v>
      </c>
      <c r="N18" s="177">
        <f>IF(N$13&lt;31,0,IF(N$13&gt;60,0,N14-N17))</f>
        <v>0</v>
      </c>
    </row>
    <row r="19" spans="1:14" x14ac:dyDescent="0.35">
      <c r="A19" s="360" t="s">
        <v>701</v>
      </c>
      <c r="B19" s="169" t="s">
        <v>702</v>
      </c>
      <c r="C19" s="170">
        <f t="shared" ref="C19:N19" si="10">IF(C$13&lt;61,0,IF(C$13&gt;90,0,C$14*(90-C$13))/30)</f>
        <v>0</v>
      </c>
      <c r="D19" s="170">
        <f t="shared" si="10"/>
        <v>0</v>
      </c>
      <c r="E19" s="170">
        <f t="shared" si="10"/>
        <v>0</v>
      </c>
      <c r="F19" s="170">
        <f t="shared" si="10"/>
        <v>0</v>
      </c>
      <c r="G19" s="170">
        <f t="shared" si="10"/>
        <v>0</v>
      </c>
      <c r="H19" s="170">
        <f t="shared" si="10"/>
        <v>0</v>
      </c>
      <c r="I19" s="170">
        <f t="shared" si="10"/>
        <v>0</v>
      </c>
      <c r="J19" s="170">
        <f t="shared" si="10"/>
        <v>0</v>
      </c>
      <c r="K19" s="170">
        <f t="shared" si="10"/>
        <v>0</v>
      </c>
      <c r="L19" s="170">
        <f t="shared" si="10"/>
        <v>0</v>
      </c>
      <c r="M19" s="170">
        <f t="shared" si="10"/>
        <v>0</v>
      </c>
      <c r="N19" s="361">
        <f t="shared" si="10"/>
        <v>0</v>
      </c>
    </row>
    <row r="20" spans="1:14" x14ac:dyDescent="0.35">
      <c r="A20" s="174" t="s">
        <v>703</v>
      </c>
      <c r="B20" s="53" t="s">
        <v>704</v>
      </c>
      <c r="C20" s="151">
        <f>IF(C$13&lt;61,0,IF(C$13&gt;90,0,C14-C19))</f>
        <v>0</v>
      </c>
      <c r="D20" s="151">
        <f t="shared" ref="D20:N20" si="11">IF(D$13&lt;61,0,IF(D$13&gt;90,0,D14-D19))</f>
        <v>0</v>
      </c>
      <c r="E20" s="151">
        <f t="shared" si="11"/>
        <v>0</v>
      </c>
      <c r="F20" s="151">
        <f t="shared" si="11"/>
        <v>0</v>
      </c>
      <c r="G20" s="151">
        <f t="shared" si="11"/>
        <v>0</v>
      </c>
      <c r="H20" s="151">
        <f t="shared" si="11"/>
        <v>0</v>
      </c>
      <c r="I20" s="151">
        <f t="shared" si="11"/>
        <v>0</v>
      </c>
      <c r="J20" s="151">
        <f t="shared" si="11"/>
        <v>0</v>
      </c>
      <c r="K20" s="151">
        <f t="shared" si="11"/>
        <v>0</v>
      </c>
      <c r="L20" s="151">
        <f t="shared" si="11"/>
        <v>0</v>
      </c>
      <c r="M20" s="151">
        <f t="shared" si="11"/>
        <v>0</v>
      </c>
      <c r="N20" s="177">
        <f t="shared" si="11"/>
        <v>0</v>
      </c>
    </row>
    <row r="21" spans="1:14" x14ac:dyDescent="0.35">
      <c r="A21" s="360" t="s">
        <v>703</v>
      </c>
      <c r="B21" s="169" t="s">
        <v>704</v>
      </c>
      <c r="C21" s="170">
        <f t="shared" ref="C21:N21" si="12">IF(C$13&lt;91,0,IF(C$13&gt;120,0,C$14*(120-C$13))/30)</f>
        <v>0</v>
      </c>
      <c r="D21" s="170">
        <f t="shared" si="12"/>
        <v>0</v>
      </c>
      <c r="E21" s="170">
        <f t="shared" si="12"/>
        <v>0</v>
      </c>
      <c r="F21" s="170">
        <f t="shared" si="12"/>
        <v>0</v>
      </c>
      <c r="G21" s="170">
        <f t="shared" si="12"/>
        <v>0</v>
      </c>
      <c r="H21" s="170">
        <f t="shared" si="12"/>
        <v>0</v>
      </c>
      <c r="I21" s="170">
        <f t="shared" si="12"/>
        <v>0</v>
      </c>
      <c r="J21" s="170">
        <f t="shared" si="12"/>
        <v>0</v>
      </c>
      <c r="K21" s="170">
        <f t="shared" si="12"/>
        <v>0</v>
      </c>
      <c r="L21" s="170">
        <f t="shared" si="12"/>
        <v>0</v>
      </c>
      <c r="M21" s="170">
        <f t="shared" si="12"/>
        <v>0</v>
      </c>
      <c r="N21" s="361">
        <f t="shared" si="12"/>
        <v>0</v>
      </c>
    </row>
    <row r="22" spans="1:14" x14ac:dyDescent="0.35">
      <c r="A22" s="174" t="s">
        <v>705</v>
      </c>
      <c r="B22" s="53" t="s">
        <v>706</v>
      </c>
      <c r="C22" s="151">
        <f>IF(C$13&lt;91,0,IF(C$13&gt;120,0,C14-C21))</f>
        <v>0</v>
      </c>
      <c r="D22" s="151">
        <f t="shared" ref="D22:N22" si="13">IF(D$13&lt;91,0,IF(D$13&gt;120,0,D14-D21))</f>
        <v>0</v>
      </c>
      <c r="E22" s="151">
        <f t="shared" si="13"/>
        <v>0</v>
      </c>
      <c r="F22" s="151">
        <f t="shared" si="13"/>
        <v>0</v>
      </c>
      <c r="G22" s="151">
        <f t="shared" si="13"/>
        <v>0</v>
      </c>
      <c r="H22" s="151">
        <f t="shared" si="13"/>
        <v>0</v>
      </c>
      <c r="I22" s="151">
        <f t="shared" si="13"/>
        <v>0</v>
      </c>
      <c r="J22" s="151">
        <f t="shared" si="13"/>
        <v>0</v>
      </c>
      <c r="K22" s="151">
        <f t="shared" si="13"/>
        <v>0</v>
      </c>
      <c r="L22" s="151">
        <f t="shared" si="13"/>
        <v>0</v>
      </c>
      <c r="M22" s="151">
        <f t="shared" si="13"/>
        <v>0</v>
      </c>
      <c r="N22" s="177">
        <f t="shared" si="13"/>
        <v>0</v>
      </c>
    </row>
    <row r="23" spans="1:14" x14ac:dyDescent="0.35">
      <c r="A23" s="360" t="s">
        <v>705</v>
      </c>
      <c r="B23" s="169" t="s">
        <v>706</v>
      </c>
      <c r="C23" s="170">
        <f t="shared" ref="C23:N23" si="14">IF(C$13&lt;121,0,IF(C$13&gt;150,0,C$14*(150-C$13))/30)</f>
        <v>0</v>
      </c>
      <c r="D23" s="170">
        <f t="shared" si="14"/>
        <v>0</v>
      </c>
      <c r="E23" s="170">
        <f t="shared" si="14"/>
        <v>0</v>
      </c>
      <c r="F23" s="170">
        <f t="shared" si="14"/>
        <v>0</v>
      </c>
      <c r="G23" s="170">
        <f t="shared" si="14"/>
        <v>0</v>
      </c>
      <c r="H23" s="170">
        <f t="shared" si="14"/>
        <v>0</v>
      </c>
      <c r="I23" s="170">
        <f t="shared" si="14"/>
        <v>0</v>
      </c>
      <c r="J23" s="170">
        <f t="shared" si="14"/>
        <v>0</v>
      </c>
      <c r="K23" s="170">
        <f t="shared" si="14"/>
        <v>0</v>
      </c>
      <c r="L23" s="170">
        <f t="shared" si="14"/>
        <v>0</v>
      </c>
      <c r="M23" s="170">
        <f t="shared" si="14"/>
        <v>0</v>
      </c>
      <c r="N23" s="361">
        <f t="shared" si="14"/>
        <v>0</v>
      </c>
    </row>
    <row r="24" spans="1:14" x14ac:dyDescent="0.35">
      <c r="A24" s="174" t="s">
        <v>707</v>
      </c>
      <c r="B24" s="53" t="s">
        <v>708</v>
      </c>
      <c r="C24" s="151">
        <f>IF(C$13&lt;121,0,IF(C$13&gt;150,0,C14-C23))</f>
        <v>0</v>
      </c>
      <c r="D24" s="151">
        <f t="shared" ref="D24:N24" si="15">IF(D$13&lt;121,0,IF(D$13&gt;150,0,D14-D23))</f>
        <v>0</v>
      </c>
      <c r="E24" s="151">
        <f t="shared" si="15"/>
        <v>0</v>
      </c>
      <c r="F24" s="151">
        <f t="shared" si="15"/>
        <v>0</v>
      </c>
      <c r="G24" s="151">
        <f t="shared" si="15"/>
        <v>0</v>
      </c>
      <c r="H24" s="151">
        <f t="shared" si="15"/>
        <v>0</v>
      </c>
      <c r="I24" s="151">
        <f t="shared" si="15"/>
        <v>0</v>
      </c>
      <c r="J24" s="151">
        <f t="shared" si="15"/>
        <v>0</v>
      </c>
      <c r="K24" s="151">
        <f t="shared" si="15"/>
        <v>0</v>
      </c>
      <c r="L24" s="151">
        <f t="shared" si="15"/>
        <v>0</v>
      </c>
      <c r="M24" s="151">
        <f t="shared" si="15"/>
        <v>0</v>
      </c>
      <c r="N24" s="177">
        <f t="shared" si="15"/>
        <v>0</v>
      </c>
    </row>
    <row r="25" spans="1:14" x14ac:dyDescent="0.35">
      <c r="A25" s="360" t="s">
        <v>707</v>
      </c>
      <c r="B25" s="169" t="s">
        <v>708</v>
      </c>
      <c r="C25" s="170">
        <f t="shared" ref="C25:N25" si="16">IF(C$13&lt;151,0,IF(C$13&gt;180,0,C$14*(180-C$13))/30)</f>
        <v>0</v>
      </c>
      <c r="D25" s="170">
        <f t="shared" si="16"/>
        <v>0</v>
      </c>
      <c r="E25" s="170">
        <f t="shared" si="16"/>
        <v>0</v>
      </c>
      <c r="F25" s="170">
        <f t="shared" si="16"/>
        <v>0</v>
      </c>
      <c r="G25" s="170">
        <f t="shared" si="16"/>
        <v>0</v>
      </c>
      <c r="H25" s="170">
        <f t="shared" si="16"/>
        <v>0</v>
      </c>
      <c r="I25" s="170">
        <f t="shared" si="16"/>
        <v>0</v>
      </c>
      <c r="J25" s="170">
        <f t="shared" si="16"/>
        <v>0</v>
      </c>
      <c r="K25" s="170">
        <f t="shared" si="16"/>
        <v>0</v>
      </c>
      <c r="L25" s="170">
        <f t="shared" si="16"/>
        <v>0</v>
      </c>
      <c r="M25" s="170">
        <f t="shared" si="16"/>
        <v>0</v>
      </c>
      <c r="N25" s="361">
        <f t="shared" si="16"/>
        <v>0</v>
      </c>
    </row>
    <row r="26" spans="1:14" x14ac:dyDescent="0.35">
      <c r="A26" s="174"/>
      <c r="B26" s="53" t="s">
        <v>709</v>
      </c>
      <c r="C26" s="151">
        <f>IF(C$13&lt;151,0,IF(C$13&gt;180,0,C14-C25))</f>
        <v>0</v>
      </c>
      <c r="D26" s="151">
        <f t="shared" ref="D26:M26" si="17">IF(D$13&lt;151,0,IF(D$13&gt;180,0,D14-D25))</f>
        <v>0</v>
      </c>
      <c r="E26" s="151">
        <f t="shared" si="17"/>
        <v>0</v>
      </c>
      <c r="F26" s="151">
        <f t="shared" si="17"/>
        <v>0</v>
      </c>
      <c r="G26" s="151">
        <f t="shared" si="17"/>
        <v>0</v>
      </c>
      <c r="H26" s="151">
        <f t="shared" si="17"/>
        <v>0</v>
      </c>
      <c r="I26" s="151">
        <f t="shared" si="17"/>
        <v>0</v>
      </c>
      <c r="J26" s="151">
        <f t="shared" si="17"/>
        <v>0</v>
      </c>
      <c r="K26" s="151">
        <f t="shared" si="17"/>
        <v>0</v>
      </c>
      <c r="L26" s="151">
        <f t="shared" si="17"/>
        <v>0</v>
      </c>
      <c r="M26" s="151">
        <f t="shared" si="17"/>
        <v>0</v>
      </c>
      <c r="N26" s="177">
        <f>IF(N$13&lt;151,0,IF(N$13&gt;180,0,N14-N25))</f>
        <v>0</v>
      </c>
    </row>
    <row r="27" spans="1:14" x14ac:dyDescent="0.35">
      <c r="A27" s="174"/>
      <c r="B27" s="423" t="s">
        <v>710</v>
      </c>
      <c r="C27" s="477">
        <f>C2</f>
        <v>46023</v>
      </c>
      <c r="D27" s="477">
        <f t="shared" ref="D27:N27" si="18">D2</f>
        <v>46054</v>
      </c>
      <c r="E27" s="477">
        <f t="shared" si="18"/>
        <v>46085</v>
      </c>
      <c r="F27" s="477">
        <f t="shared" si="18"/>
        <v>46116</v>
      </c>
      <c r="G27" s="477">
        <f t="shared" si="18"/>
        <v>46147</v>
      </c>
      <c r="H27" s="477">
        <f t="shared" si="18"/>
        <v>46178</v>
      </c>
      <c r="I27" s="477">
        <f t="shared" si="18"/>
        <v>46209</v>
      </c>
      <c r="J27" s="477">
        <f t="shared" si="18"/>
        <v>46240</v>
      </c>
      <c r="K27" s="477">
        <f t="shared" si="18"/>
        <v>46271</v>
      </c>
      <c r="L27" s="477">
        <f t="shared" si="18"/>
        <v>46302</v>
      </c>
      <c r="M27" s="477">
        <f t="shared" si="18"/>
        <v>46333</v>
      </c>
      <c r="N27" s="482">
        <f t="shared" si="18"/>
        <v>46364</v>
      </c>
    </row>
    <row r="28" spans="1:14" x14ac:dyDescent="0.35">
      <c r="A28" s="174"/>
      <c r="B28" s="53" t="s">
        <v>698</v>
      </c>
      <c r="C28" s="151">
        <f t="shared" ref="C28:N28" si="19">C15</f>
        <v>0</v>
      </c>
      <c r="D28" s="151">
        <f t="shared" si="19"/>
        <v>0</v>
      </c>
      <c r="E28" s="151">
        <f t="shared" si="19"/>
        <v>0</v>
      </c>
      <c r="F28" s="151">
        <f t="shared" si="19"/>
        <v>0</v>
      </c>
      <c r="G28" s="151">
        <f t="shared" si="19"/>
        <v>0</v>
      </c>
      <c r="H28" s="151">
        <f t="shared" si="19"/>
        <v>0</v>
      </c>
      <c r="I28" s="151">
        <f t="shared" si="19"/>
        <v>0</v>
      </c>
      <c r="J28" s="151">
        <f t="shared" si="19"/>
        <v>0</v>
      </c>
      <c r="K28" s="151">
        <f t="shared" si="19"/>
        <v>0</v>
      </c>
      <c r="L28" s="151">
        <f t="shared" si="19"/>
        <v>0</v>
      </c>
      <c r="M28" s="151">
        <f t="shared" si="19"/>
        <v>0</v>
      </c>
      <c r="N28" s="177">
        <f t="shared" si="19"/>
        <v>0</v>
      </c>
    </row>
    <row r="29" spans="1:14" x14ac:dyDescent="0.35">
      <c r="A29" s="174"/>
      <c r="B29" s="53" t="s">
        <v>700</v>
      </c>
      <c r="C29" s="151"/>
      <c r="D29" s="151">
        <f>C16+C17</f>
        <v>0</v>
      </c>
      <c r="E29" s="151">
        <f>D16+D17</f>
        <v>0</v>
      </c>
      <c r="F29" s="151">
        <f t="shared" ref="F29:M29" si="20">E16+E17</f>
        <v>0</v>
      </c>
      <c r="G29" s="151">
        <f t="shared" si="20"/>
        <v>0</v>
      </c>
      <c r="H29" s="151">
        <f t="shared" si="20"/>
        <v>0</v>
      </c>
      <c r="I29" s="151">
        <f t="shared" si="20"/>
        <v>0</v>
      </c>
      <c r="J29" s="151">
        <f t="shared" si="20"/>
        <v>0</v>
      </c>
      <c r="K29" s="151">
        <f t="shared" si="20"/>
        <v>0</v>
      </c>
      <c r="L29" s="151">
        <f t="shared" si="20"/>
        <v>0</v>
      </c>
      <c r="M29" s="151">
        <f t="shared" si="20"/>
        <v>0</v>
      </c>
      <c r="N29" s="177">
        <f>M16+M17</f>
        <v>0</v>
      </c>
    </row>
    <row r="30" spans="1:14" x14ac:dyDescent="0.35">
      <c r="A30" s="174"/>
      <c r="B30" s="53" t="s">
        <v>702</v>
      </c>
      <c r="C30" s="151"/>
      <c r="D30" s="151"/>
      <c r="E30" s="151">
        <f>C18+C19</f>
        <v>0</v>
      </c>
      <c r="F30" s="151">
        <f t="shared" ref="F30:M30" si="21">D18+D19</f>
        <v>0</v>
      </c>
      <c r="G30" s="151">
        <f t="shared" si="21"/>
        <v>0</v>
      </c>
      <c r="H30" s="151">
        <f t="shared" si="21"/>
        <v>0</v>
      </c>
      <c r="I30" s="151">
        <f t="shared" si="21"/>
        <v>0</v>
      </c>
      <c r="J30" s="151">
        <f t="shared" si="21"/>
        <v>0</v>
      </c>
      <c r="K30" s="151">
        <f t="shared" si="21"/>
        <v>0</v>
      </c>
      <c r="L30" s="151">
        <f t="shared" si="21"/>
        <v>0</v>
      </c>
      <c r="M30" s="151">
        <f t="shared" si="21"/>
        <v>0</v>
      </c>
      <c r="N30" s="177">
        <f>L18+L19</f>
        <v>0</v>
      </c>
    </row>
    <row r="31" spans="1:14" x14ac:dyDescent="0.35">
      <c r="A31" s="174"/>
      <c r="B31" s="53" t="s">
        <v>704</v>
      </c>
      <c r="C31" s="151"/>
      <c r="D31" s="151"/>
      <c r="E31" s="151"/>
      <c r="F31" s="151">
        <f>C20+C21</f>
        <v>0</v>
      </c>
      <c r="G31" s="151">
        <f t="shared" ref="G31:N31" si="22">D20+D21</f>
        <v>0</v>
      </c>
      <c r="H31" s="151">
        <f t="shared" si="22"/>
        <v>0</v>
      </c>
      <c r="I31" s="151">
        <f t="shared" si="22"/>
        <v>0</v>
      </c>
      <c r="J31" s="151">
        <f t="shared" si="22"/>
        <v>0</v>
      </c>
      <c r="K31" s="151">
        <f t="shared" si="22"/>
        <v>0</v>
      </c>
      <c r="L31" s="151">
        <f t="shared" si="22"/>
        <v>0</v>
      </c>
      <c r="M31" s="151">
        <f t="shared" si="22"/>
        <v>0</v>
      </c>
      <c r="N31" s="177">
        <f t="shared" si="22"/>
        <v>0</v>
      </c>
    </row>
    <row r="32" spans="1:14" x14ac:dyDescent="0.35">
      <c r="A32" s="174"/>
      <c r="B32" s="53" t="s">
        <v>706</v>
      </c>
      <c r="C32" s="151"/>
      <c r="D32" s="151"/>
      <c r="E32" s="151"/>
      <c r="F32" s="151"/>
      <c r="G32" s="151">
        <f>C22+C23</f>
        <v>0</v>
      </c>
      <c r="H32" s="151">
        <f t="shared" ref="H32:N32" si="23">D22+D23</f>
        <v>0</v>
      </c>
      <c r="I32" s="151">
        <f t="shared" si="23"/>
        <v>0</v>
      </c>
      <c r="J32" s="151">
        <f t="shared" si="23"/>
        <v>0</v>
      </c>
      <c r="K32" s="151">
        <f t="shared" si="23"/>
        <v>0</v>
      </c>
      <c r="L32" s="151">
        <f t="shared" si="23"/>
        <v>0</v>
      </c>
      <c r="M32" s="151">
        <f t="shared" si="23"/>
        <v>0</v>
      </c>
      <c r="N32" s="177">
        <f t="shared" si="23"/>
        <v>0</v>
      </c>
    </row>
    <row r="33" spans="1:19" x14ac:dyDescent="0.35">
      <c r="A33" s="174"/>
      <c r="B33" s="53" t="s">
        <v>708</v>
      </c>
      <c r="C33" s="151"/>
      <c r="D33" s="151"/>
      <c r="E33" s="151"/>
      <c r="F33" s="151"/>
      <c r="G33" s="151"/>
      <c r="H33" s="151">
        <f>C24+C25</f>
        <v>0</v>
      </c>
      <c r="I33" s="151">
        <f t="shared" ref="I33:N33" si="24">D24+D25</f>
        <v>0</v>
      </c>
      <c r="J33" s="151">
        <f t="shared" si="24"/>
        <v>0</v>
      </c>
      <c r="K33" s="151">
        <f t="shared" si="24"/>
        <v>0</v>
      </c>
      <c r="L33" s="151">
        <f t="shared" si="24"/>
        <v>0</v>
      </c>
      <c r="M33" s="151">
        <f t="shared" si="24"/>
        <v>0</v>
      </c>
      <c r="N33" s="177">
        <f t="shared" si="24"/>
        <v>0</v>
      </c>
    </row>
    <row r="34" spans="1:19" x14ac:dyDescent="0.35">
      <c r="A34" s="174"/>
      <c r="B34" s="53" t="s">
        <v>709</v>
      </c>
      <c r="C34" s="151"/>
      <c r="D34" s="151"/>
      <c r="E34" s="151"/>
      <c r="F34" s="151"/>
      <c r="G34" s="151"/>
      <c r="H34" s="151"/>
      <c r="I34" s="151">
        <f t="shared" ref="I34:N34" si="25">C26</f>
        <v>0</v>
      </c>
      <c r="J34" s="151">
        <f t="shared" si="25"/>
        <v>0</v>
      </c>
      <c r="K34" s="151">
        <f t="shared" si="25"/>
        <v>0</v>
      </c>
      <c r="L34" s="151">
        <f t="shared" si="25"/>
        <v>0</v>
      </c>
      <c r="M34" s="151">
        <f t="shared" si="25"/>
        <v>0</v>
      </c>
      <c r="N34" s="177">
        <f t="shared" si="25"/>
        <v>0</v>
      </c>
    </row>
    <row r="35" spans="1:19" ht="15" thickBot="1" x14ac:dyDescent="0.4">
      <c r="A35" s="189"/>
      <c r="B35" s="221" t="s">
        <v>711</v>
      </c>
      <c r="C35" s="213">
        <f>SUM(C28:C34)</f>
        <v>0</v>
      </c>
      <c r="D35" s="213">
        <f>SUM(D28:D34)</f>
        <v>0</v>
      </c>
      <c r="E35" s="213">
        <f t="shared" ref="E35:N35" si="26">SUM(E28:E34)</f>
        <v>0</v>
      </c>
      <c r="F35" s="213">
        <f t="shared" si="26"/>
        <v>0</v>
      </c>
      <c r="G35" s="213">
        <f t="shared" si="26"/>
        <v>0</v>
      </c>
      <c r="H35" s="213">
        <f t="shared" si="26"/>
        <v>0</v>
      </c>
      <c r="I35" s="213">
        <f t="shared" si="26"/>
        <v>0</v>
      </c>
      <c r="J35" s="213">
        <f t="shared" si="26"/>
        <v>0</v>
      </c>
      <c r="K35" s="213">
        <f t="shared" si="26"/>
        <v>0</v>
      </c>
      <c r="L35" s="213">
        <f t="shared" si="26"/>
        <v>0</v>
      </c>
      <c r="M35" s="213">
        <f t="shared" si="26"/>
        <v>0</v>
      </c>
      <c r="N35" s="219">
        <f t="shared" si="26"/>
        <v>0</v>
      </c>
    </row>
    <row r="37" spans="1:19" ht="16.5" thickBot="1" x14ac:dyDescent="0.45">
      <c r="B37" s="357" t="s">
        <v>684</v>
      </c>
      <c r="C37" s="407">
        <f>'9 KASSABUDJETTI'!I62</f>
        <v>2027</v>
      </c>
    </row>
    <row r="38" spans="1:19" x14ac:dyDescent="0.35">
      <c r="A38" s="183"/>
      <c r="B38" s="479" t="s">
        <v>685</v>
      </c>
      <c r="C38" s="480">
        <f>'9 KASSABUDJETTI'!G65</f>
        <v>46388</v>
      </c>
      <c r="D38" s="480">
        <f>'9 KASSABUDJETTI'!H65</f>
        <v>46419</v>
      </c>
      <c r="E38" s="480">
        <f>'9 KASSABUDJETTI'!I65</f>
        <v>46450</v>
      </c>
      <c r="F38" s="480">
        <f>'9 KASSABUDJETTI'!J65</f>
        <v>46481</v>
      </c>
      <c r="G38" s="480">
        <f>'9 KASSABUDJETTI'!K65</f>
        <v>46512</v>
      </c>
      <c r="H38" s="480">
        <f>'9 KASSABUDJETTI'!L65</f>
        <v>46543</v>
      </c>
      <c r="I38" s="480">
        <f>'9 KASSABUDJETTI'!M65</f>
        <v>46574</v>
      </c>
      <c r="J38" s="480">
        <f>'9 KASSABUDJETTI'!N65</f>
        <v>46605</v>
      </c>
      <c r="K38" s="480">
        <f>'9 KASSABUDJETTI'!O65</f>
        <v>46636</v>
      </c>
      <c r="L38" s="480">
        <f>'9 KASSABUDJETTI'!P65</f>
        <v>46667</v>
      </c>
      <c r="M38" s="480">
        <f>'9 KASSABUDJETTI'!Q65</f>
        <v>46698</v>
      </c>
      <c r="N38" s="481">
        <f>'9 KASSABUDJETTI'!R65</f>
        <v>46729</v>
      </c>
      <c r="P38" s="483" t="s">
        <v>718</v>
      </c>
      <c r="Q38" s="480">
        <f>C38</f>
        <v>46388</v>
      </c>
      <c r="R38" s="480">
        <f t="shared" ref="R38" si="27">D38</f>
        <v>46419</v>
      </c>
      <c r="S38" s="481">
        <f t="shared" ref="S38" si="28">E38</f>
        <v>46450</v>
      </c>
    </row>
    <row r="39" spans="1:19" x14ac:dyDescent="0.35">
      <c r="A39" s="174"/>
      <c r="B39" s="96" t="s">
        <v>686</v>
      </c>
      <c r="C39" s="730">
        <f>'8 RAHOITUSSUUNNITELMA'!H47</f>
        <v>0</v>
      </c>
      <c r="D39" s="730">
        <f>C39</f>
        <v>0</v>
      </c>
      <c r="E39" s="730">
        <f t="shared" ref="E39:N39" si="29">D39</f>
        <v>0</v>
      </c>
      <c r="F39" s="730">
        <f t="shared" si="29"/>
        <v>0</v>
      </c>
      <c r="G39" s="730">
        <f t="shared" si="29"/>
        <v>0</v>
      </c>
      <c r="H39" s="730">
        <f t="shared" si="29"/>
        <v>0</v>
      </c>
      <c r="I39" s="730">
        <f t="shared" si="29"/>
        <v>0</v>
      </c>
      <c r="J39" s="730">
        <f t="shared" si="29"/>
        <v>0</v>
      </c>
      <c r="K39" s="730">
        <f t="shared" si="29"/>
        <v>0</v>
      </c>
      <c r="L39" s="730">
        <f t="shared" si="29"/>
        <v>0</v>
      </c>
      <c r="M39" s="730">
        <f t="shared" si="29"/>
        <v>0</v>
      </c>
      <c r="N39" s="731">
        <f t="shared" si="29"/>
        <v>0</v>
      </c>
      <c r="P39" s="362" t="s">
        <v>686</v>
      </c>
      <c r="Q39" s="730">
        <f>'8 RAHOITUSSUUNNITELMA'!H52</f>
        <v>0</v>
      </c>
      <c r="R39" s="730">
        <f>Q39</f>
        <v>0</v>
      </c>
      <c r="S39" s="731">
        <f>R39</f>
        <v>0</v>
      </c>
    </row>
    <row r="40" spans="1:19" x14ac:dyDescent="0.35">
      <c r="A40" s="174"/>
      <c r="B40" s="96" t="s">
        <v>687</v>
      </c>
      <c r="C40" s="356">
        <f>IF(C39=0,0,'3 TASE'!I39/C39)</f>
        <v>0</v>
      </c>
      <c r="D40" s="96"/>
      <c r="E40" s="96"/>
      <c r="F40" s="96"/>
      <c r="G40" s="96"/>
      <c r="H40" s="96"/>
      <c r="I40" s="96"/>
      <c r="J40" s="96"/>
      <c r="K40" s="96"/>
      <c r="L40" s="96"/>
      <c r="M40" s="96"/>
      <c r="N40" s="358"/>
      <c r="P40" s="362" t="s">
        <v>719</v>
      </c>
      <c r="Q40" s="356">
        <f>IF(Q39=0,0,'3 TASE'!I77/Q39)</f>
        <v>0</v>
      </c>
      <c r="R40" s="96"/>
      <c r="S40" s="358"/>
    </row>
    <row r="41" spans="1:19" x14ac:dyDescent="0.35">
      <c r="A41" s="174"/>
      <c r="B41" s="53" t="s">
        <v>688</v>
      </c>
      <c r="C41" s="151">
        <f>IF(C39&lt;31,C40*C39,0)</f>
        <v>0</v>
      </c>
      <c r="D41" s="151"/>
      <c r="E41" s="151"/>
      <c r="F41" s="151"/>
      <c r="G41" s="151"/>
      <c r="H41" s="151"/>
      <c r="I41" s="151"/>
      <c r="J41" s="151"/>
      <c r="K41" s="151"/>
      <c r="L41" s="151"/>
      <c r="M41" s="151"/>
      <c r="N41" s="177"/>
      <c r="P41" s="198" t="s">
        <v>688</v>
      </c>
      <c r="Q41" s="151">
        <f>IF(Q39&lt;31,Q40*Q39,0)</f>
        <v>0</v>
      </c>
      <c r="R41" s="151"/>
      <c r="S41" s="177"/>
    </row>
    <row r="42" spans="1:19" x14ac:dyDescent="0.35">
      <c r="A42" s="174"/>
      <c r="B42" s="53" t="s">
        <v>689</v>
      </c>
      <c r="C42" s="151">
        <f>IF(C$39&lt;31,0,IF(C$39&lt;61,30*C$40,0))</f>
        <v>0</v>
      </c>
      <c r="D42" s="151">
        <f>IF(D$3&lt;31,0,IF(D$3&lt;61,$C$4*(30-(60-$C$3)),0))</f>
        <v>0</v>
      </c>
      <c r="E42" s="151"/>
      <c r="F42" s="151"/>
      <c r="G42" s="151"/>
      <c r="H42" s="151"/>
      <c r="I42" s="151"/>
      <c r="J42" s="151"/>
      <c r="K42" s="151"/>
      <c r="L42" s="151"/>
      <c r="M42" s="151"/>
      <c r="N42" s="177"/>
      <c r="P42" s="198" t="s">
        <v>689</v>
      </c>
      <c r="Q42" s="151">
        <f>IF(Q$39&lt;31,0,IF(Q$39&lt;61,30*Q$40,0))</f>
        <v>0</v>
      </c>
      <c r="R42" s="151">
        <f>IF(R$39&lt;31,0,IF(R$39&lt;61,$Q$40*(30-(60-$Q$39)),0))</f>
        <v>0</v>
      </c>
      <c r="S42" s="177"/>
    </row>
    <row r="43" spans="1:19" x14ac:dyDescent="0.35">
      <c r="A43" s="174"/>
      <c r="B43" s="53" t="s">
        <v>690</v>
      </c>
      <c r="C43" s="151">
        <f>IF(C$39&lt;61,0,IF(C$39&lt;91,30*C$40,0))</f>
        <v>0</v>
      </c>
      <c r="D43" s="151">
        <f>C43</f>
        <v>0</v>
      </c>
      <c r="E43" s="151">
        <f>IF(E$39&lt;61,0,IF(E$39&lt;91,30*E$40,0))</f>
        <v>0</v>
      </c>
      <c r="F43" s="151"/>
      <c r="G43" s="151"/>
      <c r="H43" s="151"/>
      <c r="I43" s="151"/>
      <c r="J43" s="151"/>
      <c r="K43" s="151"/>
      <c r="L43" s="151"/>
      <c r="M43" s="151"/>
      <c r="N43" s="177"/>
      <c r="P43" s="198" t="s">
        <v>690</v>
      </c>
      <c r="Q43" s="151">
        <f>IF(Q$39&lt;61,0,IF(Q$39&lt;91,30*Q$40,0))</f>
        <v>0</v>
      </c>
      <c r="R43" s="151">
        <f>Q43</f>
        <v>0</v>
      </c>
      <c r="S43" s="177">
        <f>IF(S$39&lt;61,0,IF(S$39&lt;91,$Q$40*(30-(90-$Q$39)),0))</f>
        <v>0</v>
      </c>
    </row>
    <row r="44" spans="1:19" ht="15" thickBot="1" x14ac:dyDescent="0.4">
      <c r="A44" s="174"/>
      <c r="B44" s="53" t="s">
        <v>691</v>
      </c>
      <c r="C44" s="151">
        <f>IF(C$39&lt;91,0,IF(C$39&lt;121,30*C$40,0))</f>
        <v>0</v>
      </c>
      <c r="D44" s="151">
        <f>C44</f>
        <v>0</v>
      </c>
      <c r="E44" s="151">
        <f>D44</f>
        <v>0</v>
      </c>
      <c r="F44" s="151">
        <f>IF(F$39&lt;91,0,IF(F$39&lt;121,$C$40*(30-(120-$C$39)),0))</f>
        <v>0</v>
      </c>
      <c r="G44" s="151"/>
      <c r="H44" s="151"/>
      <c r="I44" s="151"/>
      <c r="J44" s="151"/>
      <c r="K44" s="151"/>
      <c r="L44" s="151"/>
      <c r="M44" s="151"/>
      <c r="N44" s="177"/>
      <c r="P44" s="199"/>
      <c r="Q44" s="181">
        <f>SUM(Q41:Q43)</f>
        <v>0</v>
      </c>
      <c r="R44" s="181">
        <f>SUM(R41:R43)</f>
        <v>0</v>
      </c>
      <c r="S44" s="182">
        <f>SUM(S41:S43)</f>
        <v>0</v>
      </c>
    </row>
    <row r="45" spans="1:19" x14ac:dyDescent="0.35">
      <c r="A45" s="174"/>
      <c r="B45" s="53" t="s">
        <v>692</v>
      </c>
      <c r="C45" s="151">
        <f>IF(C$39&lt;121,0,IF(C$39&lt;151,30*C$40,0))</f>
        <v>0</v>
      </c>
      <c r="D45" s="151">
        <f>C45</f>
        <v>0</v>
      </c>
      <c r="E45" s="151">
        <f>D45</f>
        <v>0</v>
      </c>
      <c r="F45" s="151">
        <f>E45</f>
        <v>0</v>
      </c>
      <c r="G45" s="151">
        <f>IF(G$39&lt;121,0,IF(G$39&lt;151,$C$40*(30-(150-$C$39)),0))</f>
        <v>0</v>
      </c>
      <c r="H45" s="151"/>
      <c r="I45" s="151"/>
      <c r="J45" s="151"/>
      <c r="K45" s="151"/>
      <c r="L45" s="151"/>
      <c r="M45" s="151"/>
      <c r="N45" s="177"/>
    </row>
    <row r="46" spans="1:19" x14ac:dyDescent="0.35">
      <c r="A46" s="174"/>
      <c r="B46" s="53" t="s">
        <v>693</v>
      </c>
      <c r="C46" s="151">
        <f>IF(C$39&lt;151,0,IF(C$39&lt;181,30*C$40,0))</f>
        <v>0</v>
      </c>
      <c r="D46" s="151">
        <f>C46</f>
        <v>0</v>
      </c>
      <c r="E46" s="151">
        <f>D46</f>
        <v>0</v>
      </c>
      <c r="F46" s="151">
        <f>E46</f>
        <v>0</v>
      </c>
      <c r="G46" s="151">
        <f>F46</f>
        <v>0</v>
      </c>
      <c r="H46" s="151">
        <f>IF(H$39&lt;151,0,IF(H$39&lt;181,$C$40*(30-(180-$C$39)),0))</f>
        <v>0</v>
      </c>
      <c r="I46" s="151"/>
      <c r="J46" s="151"/>
      <c r="K46" s="151"/>
      <c r="L46" s="151"/>
      <c r="M46" s="151"/>
      <c r="N46" s="177"/>
    </row>
    <row r="47" spans="1:19" x14ac:dyDescent="0.35">
      <c r="A47" s="321"/>
      <c r="B47" s="96" t="s">
        <v>83</v>
      </c>
      <c r="C47" s="162">
        <f t="shared" ref="C47:H47" si="30">SUM(C41:C46)</f>
        <v>0</v>
      </c>
      <c r="D47" s="162">
        <f t="shared" si="30"/>
        <v>0</v>
      </c>
      <c r="E47" s="162">
        <f t="shared" si="30"/>
        <v>0</v>
      </c>
      <c r="F47" s="162">
        <f t="shared" si="30"/>
        <v>0</v>
      </c>
      <c r="G47" s="162">
        <f t="shared" si="30"/>
        <v>0</v>
      </c>
      <c r="H47" s="162">
        <f t="shared" si="30"/>
        <v>0</v>
      </c>
      <c r="I47" s="162"/>
      <c r="J47" s="162"/>
      <c r="K47" s="162"/>
      <c r="L47" s="162"/>
      <c r="M47" s="162"/>
      <c r="N47" s="245"/>
    </row>
    <row r="48" spans="1:19" x14ac:dyDescent="0.35">
      <c r="A48" s="195"/>
      <c r="B48" s="423" t="s">
        <v>694</v>
      </c>
      <c r="C48" s="477">
        <f>C38</f>
        <v>46388</v>
      </c>
      <c r="D48" s="477">
        <f t="shared" ref="D48:N48" si="31">D38</f>
        <v>46419</v>
      </c>
      <c r="E48" s="477">
        <f t="shared" si="31"/>
        <v>46450</v>
      </c>
      <c r="F48" s="477">
        <f t="shared" si="31"/>
        <v>46481</v>
      </c>
      <c r="G48" s="477">
        <f t="shared" si="31"/>
        <v>46512</v>
      </c>
      <c r="H48" s="477">
        <f t="shared" si="31"/>
        <v>46543</v>
      </c>
      <c r="I48" s="477">
        <f t="shared" si="31"/>
        <v>46574</v>
      </c>
      <c r="J48" s="477">
        <f t="shared" si="31"/>
        <v>46605</v>
      </c>
      <c r="K48" s="477">
        <f t="shared" si="31"/>
        <v>46636</v>
      </c>
      <c r="L48" s="477">
        <f t="shared" si="31"/>
        <v>46667</v>
      </c>
      <c r="M48" s="477">
        <f t="shared" si="31"/>
        <v>46698</v>
      </c>
      <c r="N48" s="482">
        <f t="shared" si="31"/>
        <v>46729</v>
      </c>
    </row>
    <row r="49" spans="1:14" x14ac:dyDescent="0.35">
      <c r="A49" s="195" t="s">
        <v>712</v>
      </c>
      <c r="B49" s="96" t="s">
        <v>695</v>
      </c>
      <c r="C49" s="356">
        <f>'9 KASSABUDJETTI'!E72</f>
        <v>0</v>
      </c>
      <c r="D49" s="356">
        <f>C49</f>
        <v>0</v>
      </c>
      <c r="E49" s="356">
        <f t="shared" ref="E49:N49" si="32">D49</f>
        <v>0</v>
      </c>
      <c r="F49" s="356">
        <f t="shared" si="32"/>
        <v>0</v>
      </c>
      <c r="G49" s="356">
        <f t="shared" si="32"/>
        <v>0</v>
      </c>
      <c r="H49" s="356">
        <f t="shared" si="32"/>
        <v>0</v>
      </c>
      <c r="I49" s="356">
        <f t="shared" si="32"/>
        <v>0</v>
      </c>
      <c r="J49" s="356">
        <f t="shared" si="32"/>
        <v>0</v>
      </c>
      <c r="K49" s="356">
        <f t="shared" si="32"/>
        <v>0</v>
      </c>
      <c r="L49" s="356">
        <f t="shared" si="32"/>
        <v>0</v>
      </c>
      <c r="M49" s="356">
        <f t="shared" si="32"/>
        <v>0</v>
      </c>
      <c r="N49" s="359">
        <f t="shared" si="32"/>
        <v>0</v>
      </c>
    </row>
    <row r="50" spans="1:14" x14ac:dyDescent="0.35">
      <c r="A50" s="195"/>
      <c r="B50" s="96" t="s">
        <v>696</v>
      </c>
      <c r="C50" s="162">
        <f>'9 KASSABUDJETTI'!G70</f>
        <v>0</v>
      </c>
      <c r="D50" s="162">
        <f>'9 KASSABUDJETTI'!H70</f>
        <v>0</v>
      </c>
      <c r="E50" s="162">
        <f>'9 KASSABUDJETTI'!I70</f>
        <v>0</v>
      </c>
      <c r="F50" s="162">
        <f>'9 KASSABUDJETTI'!J70</f>
        <v>0</v>
      </c>
      <c r="G50" s="162">
        <f>'9 KASSABUDJETTI'!K70</f>
        <v>0</v>
      </c>
      <c r="H50" s="162">
        <f>'9 KASSABUDJETTI'!L70</f>
        <v>0</v>
      </c>
      <c r="I50" s="162">
        <f>'9 KASSABUDJETTI'!M70</f>
        <v>0</v>
      </c>
      <c r="J50" s="162">
        <f>'9 KASSABUDJETTI'!N70</f>
        <v>0</v>
      </c>
      <c r="K50" s="162">
        <f>'9 KASSABUDJETTI'!O70</f>
        <v>0</v>
      </c>
      <c r="L50" s="162">
        <f>'9 KASSABUDJETTI'!P70</f>
        <v>0</v>
      </c>
      <c r="M50" s="162">
        <f>'9 KASSABUDJETTI'!Q70</f>
        <v>0</v>
      </c>
      <c r="N50" s="245">
        <f>'9 KASSABUDJETTI'!R70</f>
        <v>0</v>
      </c>
    </row>
    <row r="51" spans="1:14" x14ac:dyDescent="0.35">
      <c r="A51" s="360" t="s">
        <v>697</v>
      </c>
      <c r="B51" s="169" t="s">
        <v>698</v>
      </c>
      <c r="C51" s="170">
        <f>IF(C$13&lt;31,C50*(30-C49)/30,0)</f>
        <v>0</v>
      </c>
      <c r="D51" s="170">
        <f t="shared" ref="D51:N51" si="33">IF(D$13&lt;31,D50*(30-D49)/30,0)</f>
        <v>0</v>
      </c>
      <c r="E51" s="170">
        <f t="shared" si="33"/>
        <v>0</v>
      </c>
      <c r="F51" s="170">
        <f t="shared" si="33"/>
        <v>0</v>
      </c>
      <c r="G51" s="170">
        <f t="shared" si="33"/>
        <v>0</v>
      </c>
      <c r="H51" s="170">
        <f t="shared" si="33"/>
        <v>0</v>
      </c>
      <c r="I51" s="170">
        <f t="shared" si="33"/>
        <v>0</v>
      </c>
      <c r="J51" s="170">
        <f t="shared" si="33"/>
        <v>0</v>
      </c>
      <c r="K51" s="170">
        <f t="shared" si="33"/>
        <v>0</v>
      </c>
      <c r="L51" s="170">
        <f t="shared" si="33"/>
        <v>0</v>
      </c>
      <c r="M51" s="170">
        <f t="shared" si="33"/>
        <v>0</v>
      </c>
      <c r="N51" s="361">
        <f t="shared" si="33"/>
        <v>0</v>
      </c>
    </row>
    <row r="52" spans="1:14" x14ac:dyDescent="0.35">
      <c r="A52" s="174" t="s">
        <v>699</v>
      </c>
      <c r="B52" s="53" t="s">
        <v>700</v>
      </c>
      <c r="C52" s="151">
        <f t="shared" ref="C52:N52" si="34">IF(C49&gt;30,0,C50-C51)</f>
        <v>0</v>
      </c>
      <c r="D52" s="151">
        <f t="shared" si="34"/>
        <v>0</v>
      </c>
      <c r="E52" s="151">
        <f t="shared" si="34"/>
        <v>0</v>
      </c>
      <c r="F52" s="151">
        <f t="shared" si="34"/>
        <v>0</v>
      </c>
      <c r="G52" s="151">
        <f t="shared" si="34"/>
        <v>0</v>
      </c>
      <c r="H52" s="151">
        <f t="shared" si="34"/>
        <v>0</v>
      </c>
      <c r="I52" s="151">
        <f t="shared" si="34"/>
        <v>0</v>
      </c>
      <c r="J52" s="151">
        <f t="shared" si="34"/>
        <v>0</v>
      </c>
      <c r="K52" s="151">
        <f t="shared" si="34"/>
        <v>0</v>
      </c>
      <c r="L52" s="151">
        <f t="shared" si="34"/>
        <v>0</v>
      </c>
      <c r="M52" s="151">
        <f t="shared" si="34"/>
        <v>0</v>
      </c>
      <c r="N52" s="177">
        <f t="shared" si="34"/>
        <v>0</v>
      </c>
    </row>
    <row r="53" spans="1:14" x14ac:dyDescent="0.35">
      <c r="A53" s="360" t="s">
        <v>699</v>
      </c>
      <c r="B53" s="169" t="s">
        <v>700</v>
      </c>
      <c r="C53" s="170">
        <f>IF(C$49&lt;31,0,IF(C$49&gt;60,0,C$40*(60-C$49))/30)</f>
        <v>0</v>
      </c>
      <c r="D53" s="170">
        <f>IF(D$49&lt;31,0,IF(D$49&gt;60,0,D$50*(60-D$49))/30)</f>
        <v>0</v>
      </c>
      <c r="E53" s="170">
        <f t="shared" ref="E53:N53" si="35">IF(E$49&lt;31,0,IF(E$49&gt;60,0,E$50*(60-E$49))/30)</f>
        <v>0</v>
      </c>
      <c r="F53" s="170">
        <f t="shared" si="35"/>
        <v>0</v>
      </c>
      <c r="G53" s="170">
        <f t="shared" si="35"/>
        <v>0</v>
      </c>
      <c r="H53" s="170">
        <f t="shared" si="35"/>
        <v>0</v>
      </c>
      <c r="I53" s="170">
        <f t="shared" si="35"/>
        <v>0</v>
      </c>
      <c r="J53" s="170">
        <f t="shared" si="35"/>
        <v>0</v>
      </c>
      <c r="K53" s="170">
        <f t="shared" si="35"/>
        <v>0</v>
      </c>
      <c r="L53" s="170">
        <f t="shared" si="35"/>
        <v>0</v>
      </c>
      <c r="M53" s="170">
        <f t="shared" si="35"/>
        <v>0</v>
      </c>
      <c r="N53" s="361">
        <f t="shared" si="35"/>
        <v>0</v>
      </c>
    </row>
    <row r="54" spans="1:14" x14ac:dyDescent="0.35">
      <c r="A54" s="174" t="s">
        <v>701</v>
      </c>
      <c r="B54" s="53" t="s">
        <v>702</v>
      </c>
      <c r="C54" s="151">
        <f>IF(C$49&lt;31,0,IF(C$49&gt;60,0,C50-C53))</f>
        <v>0</v>
      </c>
      <c r="D54" s="151">
        <f>IF(D$49&lt;31,0,IF(D$49&gt;60,0,D50-D53))</f>
        <v>0</v>
      </c>
      <c r="E54" s="151">
        <f t="shared" ref="E54:N54" si="36">IF(E$49&lt;31,0,IF(E$49&gt;60,0,E50-E53))</f>
        <v>0</v>
      </c>
      <c r="F54" s="151">
        <f t="shared" si="36"/>
        <v>0</v>
      </c>
      <c r="G54" s="151">
        <f t="shared" si="36"/>
        <v>0</v>
      </c>
      <c r="H54" s="151">
        <f t="shared" si="36"/>
        <v>0</v>
      </c>
      <c r="I54" s="151">
        <f t="shared" si="36"/>
        <v>0</v>
      </c>
      <c r="J54" s="151">
        <f t="shared" si="36"/>
        <v>0</v>
      </c>
      <c r="K54" s="151">
        <f t="shared" si="36"/>
        <v>0</v>
      </c>
      <c r="L54" s="151">
        <f t="shared" si="36"/>
        <v>0</v>
      </c>
      <c r="M54" s="151">
        <f t="shared" si="36"/>
        <v>0</v>
      </c>
      <c r="N54" s="177">
        <f t="shared" si="36"/>
        <v>0</v>
      </c>
    </row>
    <row r="55" spans="1:14" x14ac:dyDescent="0.35">
      <c r="A55" s="360" t="s">
        <v>701</v>
      </c>
      <c r="B55" s="169" t="s">
        <v>702</v>
      </c>
      <c r="C55" s="170">
        <f>IF(C$49&lt;61,0,IF(C$49&gt;90,0,C$50*(90-C$49))/30)</f>
        <v>0</v>
      </c>
      <c r="D55" s="170">
        <f t="shared" ref="D55:N55" si="37">IF(D$49&lt;61,0,IF(D$49&gt;90,0,D$50*(90-D$49))/30)</f>
        <v>0</v>
      </c>
      <c r="E55" s="170">
        <f t="shared" si="37"/>
        <v>0</v>
      </c>
      <c r="F55" s="170">
        <f t="shared" si="37"/>
        <v>0</v>
      </c>
      <c r="G55" s="170">
        <f t="shared" si="37"/>
        <v>0</v>
      </c>
      <c r="H55" s="170">
        <f t="shared" si="37"/>
        <v>0</v>
      </c>
      <c r="I55" s="170">
        <f t="shared" si="37"/>
        <v>0</v>
      </c>
      <c r="J55" s="170">
        <f t="shared" si="37"/>
        <v>0</v>
      </c>
      <c r="K55" s="170">
        <f t="shared" si="37"/>
        <v>0</v>
      </c>
      <c r="L55" s="170">
        <f t="shared" si="37"/>
        <v>0</v>
      </c>
      <c r="M55" s="170">
        <f t="shared" si="37"/>
        <v>0</v>
      </c>
      <c r="N55" s="361">
        <f t="shared" si="37"/>
        <v>0</v>
      </c>
    </row>
    <row r="56" spans="1:14" x14ac:dyDescent="0.35">
      <c r="A56" s="174" t="s">
        <v>703</v>
      </c>
      <c r="B56" s="53" t="s">
        <v>704</v>
      </c>
      <c r="C56" s="151">
        <f>IF(C$49&lt;61,0,IF(C$49&gt;90,0,C50-C55))</f>
        <v>0</v>
      </c>
      <c r="D56" s="151">
        <f t="shared" ref="D56:N56" si="38">IF(D$49&lt;61,0,IF(D$49&gt;90,0,D50-D55))</f>
        <v>0</v>
      </c>
      <c r="E56" s="151">
        <f t="shared" si="38"/>
        <v>0</v>
      </c>
      <c r="F56" s="151">
        <f t="shared" si="38"/>
        <v>0</v>
      </c>
      <c r="G56" s="151">
        <f t="shared" si="38"/>
        <v>0</v>
      </c>
      <c r="H56" s="151">
        <f t="shared" si="38"/>
        <v>0</v>
      </c>
      <c r="I56" s="151">
        <f t="shared" si="38"/>
        <v>0</v>
      </c>
      <c r="J56" s="151">
        <f t="shared" si="38"/>
        <v>0</v>
      </c>
      <c r="K56" s="151">
        <f t="shared" si="38"/>
        <v>0</v>
      </c>
      <c r="L56" s="151">
        <f t="shared" si="38"/>
        <v>0</v>
      </c>
      <c r="M56" s="151">
        <f t="shared" si="38"/>
        <v>0</v>
      </c>
      <c r="N56" s="177">
        <f t="shared" si="38"/>
        <v>0</v>
      </c>
    </row>
    <row r="57" spans="1:14" x14ac:dyDescent="0.35">
      <c r="A57" s="360" t="s">
        <v>703</v>
      </c>
      <c r="B57" s="169" t="s">
        <v>704</v>
      </c>
      <c r="C57" s="170">
        <f>IF(C$49&lt;91,0,IF(C$49&gt;120,0,C$50*(120-C$49))/30)</f>
        <v>0</v>
      </c>
      <c r="D57" s="170">
        <f t="shared" ref="D57:N57" si="39">IF(D$49&lt;91,0,IF(D$49&gt;120,0,D$50*(120-D$49))/30)</f>
        <v>0</v>
      </c>
      <c r="E57" s="170">
        <f t="shared" si="39"/>
        <v>0</v>
      </c>
      <c r="F57" s="170">
        <f t="shared" si="39"/>
        <v>0</v>
      </c>
      <c r="G57" s="170">
        <f t="shared" si="39"/>
        <v>0</v>
      </c>
      <c r="H57" s="170">
        <f t="shared" si="39"/>
        <v>0</v>
      </c>
      <c r="I57" s="170">
        <f t="shared" si="39"/>
        <v>0</v>
      </c>
      <c r="J57" s="170">
        <f t="shared" si="39"/>
        <v>0</v>
      </c>
      <c r="K57" s="170">
        <f t="shared" si="39"/>
        <v>0</v>
      </c>
      <c r="L57" s="170">
        <f t="shared" si="39"/>
        <v>0</v>
      </c>
      <c r="M57" s="170">
        <f t="shared" si="39"/>
        <v>0</v>
      </c>
      <c r="N57" s="361">
        <f t="shared" si="39"/>
        <v>0</v>
      </c>
    </row>
    <row r="58" spans="1:14" x14ac:dyDescent="0.35">
      <c r="A58" s="174" t="s">
        <v>705</v>
      </c>
      <c r="B58" s="53" t="s">
        <v>706</v>
      </c>
      <c r="C58" s="151">
        <f>IF(C$49&lt;91,0,IF(C$49&gt;120,0,C50-C57))</f>
        <v>0</v>
      </c>
      <c r="D58" s="151">
        <f t="shared" ref="D58:N58" si="40">IF(D$49&lt;91,0,IF(D$49&gt;120,0,D50-D57))</f>
        <v>0</v>
      </c>
      <c r="E58" s="151">
        <f t="shared" si="40"/>
        <v>0</v>
      </c>
      <c r="F58" s="151">
        <f t="shared" si="40"/>
        <v>0</v>
      </c>
      <c r="G58" s="151">
        <f t="shared" si="40"/>
        <v>0</v>
      </c>
      <c r="H58" s="151">
        <f t="shared" si="40"/>
        <v>0</v>
      </c>
      <c r="I58" s="151">
        <f t="shared" si="40"/>
        <v>0</v>
      </c>
      <c r="J58" s="151">
        <f t="shared" si="40"/>
        <v>0</v>
      </c>
      <c r="K58" s="151">
        <f t="shared" si="40"/>
        <v>0</v>
      </c>
      <c r="L58" s="151">
        <f t="shared" si="40"/>
        <v>0</v>
      </c>
      <c r="M58" s="151">
        <f t="shared" si="40"/>
        <v>0</v>
      </c>
      <c r="N58" s="177">
        <f t="shared" si="40"/>
        <v>0</v>
      </c>
    </row>
    <row r="59" spans="1:14" x14ac:dyDescent="0.35">
      <c r="A59" s="360" t="s">
        <v>705</v>
      </c>
      <c r="B59" s="169" t="s">
        <v>706</v>
      </c>
      <c r="C59" s="170">
        <f>IF(C$49&lt;121,0,IF(C$49&gt;150,0,C$50*(150-C$49))/30)</f>
        <v>0</v>
      </c>
      <c r="D59" s="170">
        <f t="shared" ref="D59:N59" si="41">IF(D$49&lt;121,0,IF(D$49&gt;150,0,D$50*(150-D$49))/30)</f>
        <v>0</v>
      </c>
      <c r="E59" s="170">
        <f t="shared" si="41"/>
        <v>0</v>
      </c>
      <c r="F59" s="170">
        <f t="shared" si="41"/>
        <v>0</v>
      </c>
      <c r="G59" s="170">
        <f t="shared" si="41"/>
        <v>0</v>
      </c>
      <c r="H59" s="170">
        <f t="shared" si="41"/>
        <v>0</v>
      </c>
      <c r="I59" s="170">
        <f t="shared" si="41"/>
        <v>0</v>
      </c>
      <c r="J59" s="170">
        <f t="shared" si="41"/>
        <v>0</v>
      </c>
      <c r="K59" s="170">
        <f t="shared" si="41"/>
        <v>0</v>
      </c>
      <c r="L59" s="170">
        <f t="shared" si="41"/>
        <v>0</v>
      </c>
      <c r="M59" s="170">
        <f t="shared" si="41"/>
        <v>0</v>
      </c>
      <c r="N59" s="361">
        <f t="shared" si="41"/>
        <v>0</v>
      </c>
    </row>
    <row r="60" spans="1:14" x14ac:dyDescent="0.35">
      <c r="A60" s="174" t="s">
        <v>707</v>
      </c>
      <c r="B60" s="53" t="s">
        <v>708</v>
      </c>
      <c r="C60" s="151">
        <f>IF(C$49&lt;121,0,IF(C$49&gt;150,0,C50-C59))</f>
        <v>0</v>
      </c>
      <c r="D60" s="151">
        <f t="shared" ref="D60:N60" si="42">IF(D$49&lt;121,0,IF(D$49&gt;150,0,D50-D59))</f>
        <v>0</v>
      </c>
      <c r="E60" s="151">
        <f t="shared" si="42"/>
        <v>0</v>
      </c>
      <c r="F60" s="151">
        <f t="shared" si="42"/>
        <v>0</v>
      </c>
      <c r="G60" s="151">
        <f t="shared" si="42"/>
        <v>0</v>
      </c>
      <c r="H60" s="151">
        <f t="shared" si="42"/>
        <v>0</v>
      </c>
      <c r="I60" s="151">
        <f t="shared" si="42"/>
        <v>0</v>
      </c>
      <c r="J60" s="151">
        <f t="shared" si="42"/>
        <v>0</v>
      </c>
      <c r="K60" s="151">
        <f t="shared" si="42"/>
        <v>0</v>
      </c>
      <c r="L60" s="151">
        <f t="shared" si="42"/>
        <v>0</v>
      </c>
      <c r="M60" s="151">
        <f t="shared" si="42"/>
        <v>0</v>
      </c>
      <c r="N60" s="177">
        <f t="shared" si="42"/>
        <v>0</v>
      </c>
    </row>
    <row r="61" spans="1:14" x14ac:dyDescent="0.35">
      <c r="A61" s="360" t="s">
        <v>707</v>
      </c>
      <c r="B61" s="169" t="s">
        <v>708</v>
      </c>
      <c r="C61" s="170">
        <f>IF(C$49&lt;151,0,IF(C$49&gt;180,0,C$50*(180-C$49))/30)</f>
        <v>0</v>
      </c>
      <c r="D61" s="170">
        <f t="shared" ref="D61:N61" si="43">IF(D$49&lt;151,0,IF(D$49&gt;180,0,D$50*(180-D$49))/30)</f>
        <v>0</v>
      </c>
      <c r="E61" s="170">
        <f t="shared" si="43"/>
        <v>0</v>
      </c>
      <c r="F61" s="170">
        <f t="shared" si="43"/>
        <v>0</v>
      </c>
      <c r="G61" s="170">
        <f t="shared" si="43"/>
        <v>0</v>
      </c>
      <c r="H61" s="170">
        <f t="shared" si="43"/>
        <v>0</v>
      </c>
      <c r="I61" s="170">
        <f t="shared" si="43"/>
        <v>0</v>
      </c>
      <c r="J61" s="170">
        <f t="shared" si="43"/>
        <v>0</v>
      </c>
      <c r="K61" s="170">
        <f t="shared" si="43"/>
        <v>0</v>
      </c>
      <c r="L61" s="170">
        <f t="shared" si="43"/>
        <v>0</v>
      </c>
      <c r="M61" s="170">
        <f t="shared" si="43"/>
        <v>0</v>
      </c>
      <c r="N61" s="361">
        <f t="shared" si="43"/>
        <v>0</v>
      </c>
    </row>
    <row r="62" spans="1:14" x14ac:dyDescent="0.35">
      <c r="A62" s="174"/>
      <c r="B62" s="53" t="s">
        <v>709</v>
      </c>
      <c r="C62" s="151">
        <f>IF(C$49&lt;151,0,IF(C$49&gt;180,0,C50-C61))</f>
        <v>0</v>
      </c>
      <c r="D62" s="151">
        <f t="shared" ref="D62:N62" si="44">IF(D$49&lt;151,0,IF(D$49&gt;180,0,D50-D61))</f>
        <v>0</v>
      </c>
      <c r="E62" s="151">
        <f t="shared" si="44"/>
        <v>0</v>
      </c>
      <c r="F62" s="151">
        <f t="shared" si="44"/>
        <v>0</v>
      </c>
      <c r="G62" s="151">
        <f t="shared" si="44"/>
        <v>0</v>
      </c>
      <c r="H62" s="151">
        <f t="shared" si="44"/>
        <v>0</v>
      </c>
      <c r="I62" s="151">
        <f t="shared" si="44"/>
        <v>0</v>
      </c>
      <c r="J62" s="151">
        <f t="shared" si="44"/>
        <v>0</v>
      </c>
      <c r="K62" s="151">
        <f t="shared" si="44"/>
        <v>0</v>
      </c>
      <c r="L62" s="151">
        <f t="shared" si="44"/>
        <v>0</v>
      </c>
      <c r="M62" s="151">
        <f t="shared" si="44"/>
        <v>0</v>
      </c>
      <c r="N62" s="177">
        <f t="shared" si="44"/>
        <v>0</v>
      </c>
    </row>
    <row r="63" spans="1:14" x14ac:dyDescent="0.35">
      <c r="A63" s="174"/>
      <c r="B63" s="423" t="s">
        <v>710</v>
      </c>
      <c r="C63" s="477">
        <f>C38</f>
        <v>46388</v>
      </c>
      <c r="D63" s="477">
        <f t="shared" ref="D63:N63" si="45">D38</f>
        <v>46419</v>
      </c>
      <c r="E63" s="477">
        <f t="shared" si="45"/>
        <v>46450</v>
      </c>
      <c r="F63" s="477">
        <f t="shared" si="45"/>
        <v>46481</v>
      </c>
      <c r="G63" s="477">
        <f t="shared" si="45"/>
        <v>46512</v>
      </c>
      <c r="H63" s="477">
        <f t="shared" si="45"/>
        <v>46543</v>
      </c>
      <c r="I63" s="477">
        <f t="shared" si="45"/>
        <v>46574</v>
      </c>
      <c r="J63" s="477">
        <f t="shared" si="45"/>
        <v>46605</v>
      </c>
      <c r="K63" s="477">
        <f t="shared" si="45"/>
        <v>46636</v>
      </c>
      <c r="L63" s="477">
        <f t="shared" si="45"/>
        <v>46667</v>
      </c>
      <c r="M63" s="477">
        <f t="shared" si="45"/>
        <v>46698</v>
      </c>
      <c r="N63" s="482">
        <f t="shared" si="45"/>
        <v>46729</v>
      </c>
    </row>
    <row r="64" spans="1:14" x14ac:dyDescent="0.35">
      <c r="A64" s="174"/>
      <c r="B64" s="53" t="s">
        <v>698</v>
      </c>
      <c r="C64" s="151">
        <f>C51</f>
        <v>0</v>
      </c>
      <c r="D64" s="151">
        <f t="shared" ref="D64:N64" si="46">D51</f>
        <v>0</v>
      </c>
      <c r="E64" s="151">
        <f t="shared" si="46"/>
        <v>0</v>
      </c>
      <c r="F64" s="151">
        <f t="shared" si="46"/>
        <v>0</v>
      </c>
      <c r="G64" s="151">
        <f t="shared" si="46"/>
        <v>0</v>
      </c>
      <c r="H64" s="151">
        <f t="shared" si="46"/>
        <v>0</v>
      </c>
      <c r="I64" s="151">
        <f t="shared" si="46"/>
        <v>0</v>
      </c>
      <c r="J64" s="151">
        <f t="shared" si="46"/>
        <v>0</v>
      </c>
      <c r="K64" s="151">
        <f t="shared" si="46"/>
        <v>0</v>
      </c>
      <c r="L64" s="151">
        <f t="shared" si="46"/>
        <v>0</v>
      </c>
      <c r="M64" s="151">
        <f t="shared" si="46"/>
        <v>0</v>
      </c>
      <c r="N64" s="177">
        <f t="shared" si="46"/>
        <v>0</v>
      </c>
    </row>
    <row r="65" spans="1:14" x14ac:dyDescent="0.35">
      <c r="A65" s="174"/>
      <c r="B65" s="53" t="s">
        <v>700</v>
      </c>
      <c r="C65" s="151"/>
      <c r="D65" s="151">
        <f t="shared" ref="D65:N65" si="47">C52+C53</f>
        <v>0</v>
      </c>
      <c r="E65" s="151">
        <f t="shared" si="47"/>
        <v>0</v>
      </c>
      <c r="F65" s="151">
        <f t="shared" si="47"/>
        <v>0</v>
      </c>
      <c r="G65" s="151">
        <f t="shared" si="47"/>
        <v>0</v>
      </c>
      <c r="H65" s="151">
        <f t="shared" si="47"/>
        <v>0</v>
      </c>
      <c r="I65" s="151">
        <f t="shared" si="47"/>
        <v>0</v>
      </c>
      <c r="J65" s="151">
        <f t="shared" si="47"/>
        <v>0</v>
      </c>
      <c r="K65" s="151">
        <f t="shared" si="47"/>
        <v>0</v>
      </c>
      <c r="L65" s="151">
        <f t="shared" si="47"/>
        <v>0</v>
      </c>
      <c r="M65" s="151">
        <f t="shared" si="47"/>
        <v>0</v>
      </c>
      <c r="N65" s="177">
        <f t="shared" si="47"/>
        <v>0</v>
      </c>
    </row>
    <row r="66" spans="1:14" x14ac:dyDescent="0.35">
      <c r="A66" s="174"/>
      <c r="B66" s="53" t="s">
        <v>702</v>
      </c>
      <c r="C66" s="151"/>
      <c r="D66" s="151"/>
      <c r="E66" s="151">
        <f t="shared" ref="E66:N66" si="48">C54+C55</f>
        <v>0</v>
      </c>
      <c r="F66" s="151">
        <f t="shared" si="48"/>
        <v>0</v>
      </c>
      <c r="G66" s="151">
        <f t="shared" si="48"/>
        <v>0</v>
      </c>
      <c r="H66" s="151">
        <f t="shared" si="48"/>
        <v>0</v>
      </c>
      <c r="I66" s="151">
        <f t="shared" si="48"/>
        <v>0</v>
      </c>
      <c r="J66" s="151">
        <f t="shared" si="48"/>
        <v>0</v>
      </c>
      <c r="K66" s="151">
        <f t="shared" si="48"/>
        <v>0</v>
      </c>
      <c r="L66" s="151">
        <f t="shared" si="48"/>
        <v>0</v>
      </c>
      <c r="M66" s="151">
        <f t="shared" si="48"/>
        <v>0</v>
      </c>
      <c r="N66" s="177">
        <f t="shared" si="48"/>
        <v>0</v>
      </c>
    </row>
    <row r="67" spans="1:14" x14ac:dyDescent="0.35">
      <c r="A67" s="174"/>
      <c r="B67" s="53" t="s">
        <v>704</v>
      </c>
      <c r="C67" s="151"/>
      <c r="D67" s="151"/>
      <c r="E67" s="151"/>
      <c r="F67" s="151">
        <f t="shared" ref="F67:N67" si="49">C56+C57</f>
        <v>0</v>
      </c>
      <c r="G67" s="151">
        <f t="shared" si="49"/>
        <v>0</v>
      </c>
      <c r="H67" s="151">
        <f t="shared" si="49"/>
        <v>0</v>
      </c>
      <c r="I67" s="151">
        <f t="shared" si="49"/>
        <v>0</v>
      </c>
      <c r="J67" s="151">
        <f t="shared" si="49"/>
        <v>0</v>
      </c>
      <c r="K67" s="151">
        <f t="shared" si="49"/>
        <v>0</v>
      </c>
      <c r="L67" s="151">
        <f t="shared" si="49"/>
        <v>0</v>
      </c>
      <c r="M67" s="151">
        <f t="shared" si="49"/>
        <v>0</v>
      </c>
      <c r="N67" s="177">
        <f t="shared" si="49"/>
        <v>0</v>
      </c>
    </row>
    <row r="68" spans="1:14" x14ac:dyDescent="0.35">
      <c r="A68" s="174"/>
      <c r="B68" s="53" t="s">
        <v>706</v>
      </c>
      <c r="C68" s="151"/>
      <c r="D68" s="151"/>
      <c r="E68" s="151"/>
      <c r="F68" s="151"/>
      <c r="G68" s="151">
        <f t="shared" ref="G68:N68" si="50">C58+C59</f>
        <v>0</v>
      </c>
      <c r="H68" s="151">
        <f t="shared" si="50"/>
        <v>0</v>
      </c>
      <c r="I68" s="151">
        <f t="shared" si="50"/>
        <v>0</v>
      </c>
      <c r="J68" s="151">
        <f t="shared" si="50"/>
        <v>0</v>
      </c>
      <c r="K68" s="151">
        <f t="shared" si="50"/>
        <v>0</v>
      </c>
      <c r="L68" s="151">
        <f t="shared" si="50"/>
        <v>0</v>
      </c>
      <c r="M68" s="151">
        <f t="shared" si="50"/>
        <v>0</v>
      </c>
      <c r="N68" s="177">
        <f t="shared" si="50"/>
        <v>0</v>
      </c>
    </row>
    <row r="69" spans="1:14" x14ac:dyDescent="0.35">
      <c r="A69" s="174"/>
      <c r="B69" s="53" t="s">
        <v>708</v>
      </c>
      <c r="C69" s="151"/>
      <c r="D69" s="151"/>
      <c r="E69" s="151"/>
      <c r="F69" s="151"/>
      <c r="G69" s="151"/>
      <c r="H69" s="151">
        <f t="shared" ref="H69:N69" si="51">C60+C61</f>
        <v>0</v>
      </c>
      <c r="I69" s="151">
        <f t="shared" si="51"/>
        <v>0</v>
      </c>
      <c r="J69" s="151">
        <f t="shared" si="51"/>
        <v>0</v>
      </c>
      <c r="K69" s="151">
        <f t="shared" si="51"/>
        <v>0</v>
      </c>
      <c r="L69" s="151">
        <f t="shared" si="51"/>
        <v>0</v>
      </c>
      <c r="M69" s="151">
        <f t="shared" si="51"/>
        <v>0</v>
      </c>
      <c r="N69" s="177">
        <f t="shared" si="51"/>
        <v>0</v>
      </c>
    </row>
    <row r="70" spans="1:14" x14ac:dyDescent="0.35">
      <c r="A70" s="174"/>
      <c r="B70" s="53" t="s">
        <v>709</v>
      </c>
      <c r="C70" s="151"/>
      <c r="D70" s="151"/>
      <c r="E70" s="151"/>
      <c r="F70" s="151"/>
      <c r="G70" s="151"/>
      <c r="H70" s="151"/>
      <c r="I70" s="151">
        <f t="shared" ref="I70:N70" si="52">C62</f>
        <v>0</v>
      </c>
      <c r="J70" s="151">
        <f t="shared" si="52"/>
        <v>0</v>
      </c>
      <c r="K70" s="151">
        <f t="shared" si="52"/>
        <v>0</v>
      </c>
      <c r="L70" s="151">
        <f t="shared" si="52"/>
        <v>0</v>
      </c>
      <c r="M70" s="151">
        <f t="shared" si="52"/>
        <v>0</v>
      </c>
      <c r="N70" s="177">
        <f t="shared" si="52"/>
        <v>0</v>
      </c>
    </row>
    <row r="71" spans="1:14" ht="15" thickBot="1" x14ac:dyDescent="0.4">
      <c r="A71" s="189"/>
      <c r="B71" s="221" t="s">
        <v>711</v>
      </c>
      <c r="C71" s="213">
        <f>SUM(C64:C70)</f>
        <v>0</v>
      </c>
      <c r="D71" s="213">
        <f t="shared" ref="D71:N71" si="53">SUM(D64:D70)</f>
        <v>0</v>
      </c>
      <c r="E71" s="213">
        <f t="shared" si="53"/>
        <v>0</v>
      </c>
      <c r="F71" s="213">
        <f t="shared" si="53"/>
        <v>0</v>
      </c>
      <c r="G71" s="213">
        <f t="shared" si="53"/>
        <v>0</v>
      </c>
      <c r="H71" s="213">
        <f t="shared" si="53"/>
        <v>0</v>
      </c>
      <c r="I71" s="213">
        <f t="shared" si="53"/>
        <v>0</v>
      </c>
      <c r="J71" s="213">
        <f t="shared" si="53"/>
        <v>0</v>
      </c>
      <c r="K71" s="213">
        <f t="shared" si="53"/>
        <v>0</v>
      </c>
      <c r="L71" s="213">
        <f t="shared" si="53"/>
        <v>0</v>
      </c>
      <c r="M71" s="213">
        <f t="shared" si="53"/>
        <v>0</v>
      </c>
      <c r="N71" s="219">
        <f t="shared" si="53"/>
        <v>0</v>
      </c>
    </row>
  </sheetData>
  <pageMargins left="0.7" right="0.7" top="0.75" bottom="0.75" header="0.3" footer="0.3"/>
  <ignoredErrors>
    <ignoredError xmlns:x16r3="http://schemas.microsoft.com/office/spreadsheetml/2018/08/main" sqref="D40:N40 D63:N63 I41:N47" x16r3:misleadingFormat="1"/>
    <ignoredError sqref="D4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BD9CB-47A2-444D-A4C4-A507677DABF1}">
  <sheetPr codeName="Sheet9">
    <tabColor theme="7" tint="0.79998168889431442"/>
  </sheetPr>
  <dimension ref="B2:R59"/>
  <sheetViews>
    <sheetView workbookViewId="0">
      <selection activeCell="G3" sqref="G3"/>
    </sheetView>
  </sheetViews>
  <sheetFormatPr defaultColWidth="9.1796875" defaultRowHeight="14.5" x14ac:dyDescent="0.35"/>
  <cols>
    <col min="1" max="2" width="3.7265625" style="5" customWidth="1"/>
    <col min="3" max="3" width="65.7265625" style="5" customWidth="1"/>
    <col min="4" max="4" width="10.7265625" style="10" customWidth="1"/>
    <col min="5" max="17" width="12.7265625" style="5" customWidth="1"/>
    <col min="18" max="18" width="10.7265625" style="5" customWidth="1"/>
    <col min="19" max="16384" width="9.1796875" style="5"/>
  </cols>
  <sheetData>
    <row r="2" spans="2:17" ht="21" x14ac:dyDescent="0.5">
      <c r="B2" s="16" t="s">
        <v>966</v>
      </c>
    </row>
    <row r="3" spans="2:17" ht="16" x14ac:dyDescent="0.4">
      <c r="D3" s="380" t="s">
        <v>745</v>
      </c>
      <c r="E3" s="407">
        <f>'9 KASSABUDJETTI'!I6</f>
        <v>2026</v>
      </c>
    </row>
    <row r="5" spans="2:17" x14ac:dyDescent="0.35">
      <c r="B5" s="428"/>
      <c r="C5" s="423" t="s">
        <v>741</v>
      </c>
      <c r="D5" s="476" t="str">
        <f>'9 KASSABUDJETTI'!F9</f>
        <v>Alv-%</v>
      </c>
      <c r="E5" s="477">
        <f>'9 KASSABUDJETTI'!G9</f>
        <v>46023</v>
      </c>
      <c r="F5" s="477">
        <f>'9 KASSABUDJETTI'!H9</f>
        <v>46054</v>
      </c>
      <c r="G5" s="477">
        <f>'9 KASSABUDJETTI'!I9</f>
        <v>46085</v>
      </c>
      <c r="H5" s="477">
        <f>'9 KASSABUDJETTI'!J9</f>
        <v>46116</v>
      </c>
      <c r="I5" s="477">
        <f>'9 KASSABUDJETTI'!K9</f>
        <v>46147</v>
      </c>
      <c r="J5" s="477">
        <f>'9 KASSABUDJETTI'!L9</f>
        <v>46178</v>
      </c>
      <c r="K5" s="477">
        <f>'9 KASSABUDJETTI'!M9</f>
        <v>46209</v>
      </c>
      <c r="L5" s="477">
        <f>'9 KASSABUDJETTI'!N9</f>
        <v>46240</v>
      </c>
      <c r="M5" s="477">
        <f>'9 KASSABUDJETTI'!O9</f>
        <v>46271</v>
      </c>
      <c r="N5" s="477">
        <f>'9 KASSABUDJETTI'!P9</f>
        <v>46302</v>
      </c>
      <c r="O5" s="477">
        <f>'9 KASSABUDJETTI'!Q9</f>
        <v>46333</v>
      </c>
      <c r="P5" s="477">
        <f>'9 KASSABUDJETTI'!R9</f>
        <v>46364</v>
      </c>
      <c r="Q5" s="484" t="str">
        <f>'9 KASSABUDJETTI'!S9</f>
        <v>YHTEENSÄ</v>
      </c>
    </row>
    <row r="6" spans="2:17" x14ac:dyDescent="0.35">
      <c r="B6" s="367" t="str">
        <f>'9 KASSABUDJETTI'!C12</f>
        <v>2.</v>
      </c>
      <c r="C6" s="96" t="str">
        <f>'9 KASSABUDJETTI'!D12</f>
        <v>Käteismyynti, ennakkomaksut / myyntiosuus-%</v>
      </c>
      <c r="D6" s="294">
        <f>'9 KASSABUDJETTI'!F12</f>
        <v>0.255</v>
      </c>
      <c r="E6" s="151">
        <f>'9 KASSABUDJETTI'!G12</f>
        <v>0</v>
      </c>
      <c r="F6" s="151">
        <f>'9 KASSABUDJETTI'!H12</f>
        <v>0</v>
      </c>
      <c r="G6" s="151">
        <f>'9 KASSABUDJETTI'!I12</f>
        <v>0</v>
      </c>
      <c r="H6" s="151">
        <f>'9 KASSABUDJETTI'!J12</f>
        <v>0</v>
      </c>
      <c r="I6" s="151">
        <f>'9 KASSABUDJETTI'!K12</f>
        <v>0</v>
      </c>
      <c r="J6" s="151">
        <f>'9 KASSABUDJETTI'!L12</f>
        <v>0</v>
      </c>
      <c r="K6" s="151">
        <f>'9 KASSABUDJETTI'!M12</f>
        <v>0</v>
      </c>
      <c r="L6" s="151">
        <f>'9 KASSABUDJETTI'!N12</f>
        <v>0</v>
      </c>
      <c r="M6" s="151">
        <f>'9 KASSABUDJETTI'!O12</f>
        <v>0</v>
      </c>
      <c r="N6" s="151">
        <f>'9 KASSABUDJETTI'!P12</f>
        <v>0</v>
      </c>
      <c r="O6" s="151">
        <f>'9 KASSABUDJETTI'!Q12</f>
        <v>0</v>
      </c>
      <c r="P6" s="151">
        <f>'9 KASSABUDJETTI'!R12</f>
        <v>0</v>
      </c>
      <c r="Q6" s="162">
        <f>SUM(E6:P6)</f>
        <v>0</v>
      </c>
    </row>
    <row r="7" spans="2:17" x14ac:dyDescent="0.35">
      <c r="B7" s="368"/>
      <c r="C7" s="53" t="s">
        <v>740</v>
      </c>
      <c r="D7" s="142"/>
      <c r="E7" s="151">
        <f>E6-E6/(1+$D6)</f>
        <v>0</v>
      </c>
      <c r="F7" s="151">
        <f t="shared" ref="F7:P7" si="0">F6-F6/(1+$D6)</f>
        <v>0</v>
      </c>
      <c r="G7" s="151">
        <f t="shared" si="0"/>
        <v>0</v>
      </c>
      <c r="H7" s="151">
        <f t="shared" si="0"/>
        <v>0</v>
      </c>
      <c r="I7" s="151">
        <f t="shared" si="0"/>
        <v>0</v>
      </c>
      <c r="J7" s="151">
        <f t="shared" si="0"/>
        <v>0</v>
      </c>
      <c r="K7" s="151">
        <f t="shared" si="0"/>
        <v>0</v>
      </c>
      <c r="L7" s="151">
        <f t="shared" si="0"/>
        <v>0</v>
      </c>
      <c r="M7" s="151">
        <f t="shared" si="0"/>
        <v>0</v>
      </c>
      <c r="N7" s="151">
        <f t="shared" si="0"/>
        <v>0</v>
      </c>
      <c r="O7" s="151">
        <f t="shared" si="0"/>
        <v>0</v>
      </c>
      <c r="P7" s="151">
        <f t="shared" si="0"/>
        <v>0</v>
      </c>
      <c r="Q7" s="162">
        <f t="shared" ref="Q7:Q12" si="1">SUM(E7:P7)</f>
        <v>0</v>
      </c>
    </row>
    <row r="8" spans="2:17" x14ac:dyDescent="0.35">
      <c r="B8" s="367" t="str">
        <f>'9 KASSABUDJETTI'!C14</f>
        <v>3.</v>
      </c>
      <c r="C8" s="96" t="str">
        <f>'9 KASSABUDJETTI'!D14</f>
        <v>Laskutusmyynti</v>
      </c>
      <c r="D8" s="294">
        <f>'9 KASSABUDJETTI'!F14</f>
        <v>0.255</v>
      </c>
      <c r="E8" s="151">
        <f>'9 KASSABUDJETTI'!G14</f>
        <v>0</v>
      </c>
      <c r="F8" s="151">
        <f>'9 KASSABUDJETTI'!H14</f>
        <v>0</v>
      </c>
      <c r="G8" s="151">
        <f>'9 KASSABUDJETTI'!I14</f>
        <v>0</v>
      </c>
      <c r="H8" s="151">
        <f>'9 KASSABUDJETTI'!J14</f>
        <v>0</v>
      </c>
      <c r="I8" s="151">
        <f>'9 KASSABUDJETTI'!K14</f>
        <v>0</v>
      </c>
      <c r="J8" s="151">
        <f>'9 KASSABUDJETTI'!L14</f>
        <v>0</v>
      </c>
      <c r="K8" s="151">
        <f>'9 KASSABUDJETTI'!M14</f>
        <v>0</v>
      </c>
      <c r="L8" s="151">
        <f>'9 KASSABUDJETTI'!N14</f>
        <v>0</v>
      </c>
      <c r="M8" s="151">
        <f>'9 KASSABUDJETTI'!O14</f>
        <v>0</v>
      </c>
      <c r="N8" s="151">
        <f>'9 KASSABUDJETTI'!P14</f>
        <v>0</v>
      </c>
      <c r="O8" s="151">
        <f>'9 KASSABUDJETTI'!Q14</f>
        <v>0</v>
      </c>
      <c r="P8" s="151">
        <f>'9 KASSABUDJETTI'!R14</f>
        <v>0</v>
      </c>
      <c r="Q8" s="162">
        <f t="shared" si="1"/>
        <v>0</v>
      </c>
    </row>
    <row r="9" spans="2:17" x14ac:dyDescent="0.35">
      <c r="B9" s="368"/>
      <c r="C9" s="53" t="s">
        <v>740</v>
      </c>
      <c r="D9" s="142"/>
      <c r="E9" s="151">
        <f>E8-E8/(1+$D8)</f>
        <v>0</v>
      </c>
      <c r="F9" s="151">
        <f t="shared" ref="F9:P9" si="2">F8-F8/(1+$D8)</f>
        <v>0</v>
      </c>
      <c r="G9" s="151">
        <f t="shared" si="2"/>
        <v>0</v>
      </c>
      <c r="H9" s="151">
        <f t="shared" si="2"/>
        <v>0</v>
      </c>
      <c r="I9" s="151">
        <f t="shared" si="2"/>
        <v>0</v>
      </c>
      <c r="J9" s="151">
        <f t="shared" si="2"/>
        <v>0</v>
      </c>
      <c r="K9" s="151">
        <f t="shared" si="2"/>
        <v>0</v>
      </c>
      <c r="L9" s="151">
        <f t="shared" si="2"/>
        <v>0</v>
      </c>
      <c r="M9" s="151">
        <f t="shared" si="2"/>
        <v>0</v>
      </c>
      <c r="N9" s="151">
        <f t="shared" si="2"/>
        <v>0</v>
      </c>
      <c r="O9" s="151">
        <f t="shared" si="2"/>
        <v>0</v>
      </c>
      <c r="P9" s="151">
        <f t="shared" si="2"/>
        <v>0</v>
      </c>
      <c r="Q9" s="162">
        <f t="shared" si="1"/>
        <v>0</v>
      </c>
    </row>
    <row r="10" spans="2:17" x14ac:dyDescent="0.35">
      <c r="B10" s="367" t="str">
        <f>'9 KASSABUDJETTI'!C17</f>
        <v>4.</v>
      </c>
      <c r="C10" s="96" t="str">
        <f>'9 KASSABUDJETTI'!D17</f>
        <v>Muut tuotot sis. alv (mm. liiketoiminnan muut tuotot, saneeraus)</v>
      </c>
      <c r="D10" s="294">
        <f>'9 KASSABUDJETTI'!F17</f>
        <v>0.255</v>
      </c>
      <c r="E10" s="151">
        <f>'9 KASSABUDJETTI'!G17</f>
        <v>0</v>
      </c>
      <c r="F10" s="151">
        <f>'9 KASSABUDJETTI'!H17</f>
        <v>0</v>
      </c>
      <c r="G10" s="151">
        <f>'9 KASSABUDJETTI'!I17</f>
        <v>0</v>
      </c>
      <c r="H10" s="151">
        <f>'9 KASSABUDJETTI'!J17</f>
        <v>0</v>
      </c>
      <c r="I10" s="151">
        <f>'9 KASSABUDJETTI'!K17</f>
        <v>0</v>
      </c>
      <c r="J10" s="151">
        <f>'9 KASSABUDJETTI'!L17</f>
        <v>0</v>
      </c>
      <c r="K10" s="151">
        <f>'9 KASSABUDJETTI'!M17</f>
        <v>0</v>
      </c>
      <c r="L10" s="151">
        <f>'9 KASSABUDJETTI'!N17</f>
        <v>0</v>
      </c>
      <c r="M10" s="151">
        <f>'9 KASSABUDJETTI'!O17</f>
        <v>0</v>
      </c>
      <c r="N10" s="151">
        <f>'9 KASSABUDJETTI'!P17</f>
        <v>0</v>
      </c>
      <c r="O10" s="151">
        <f>'9 KASSABUDJETTI'!Q17</f>
        <v>0</v>
      </c>
      <c r="P10" s="151">
        <f>'9 KASSABUDJETTI'!R17</f>
        <v>0</v>
      </c>
      <c r="Q10" s="162">
        <f t="shared" si="1"/>
        <v>0</v>
      </c>
    </row>
    <row r="11" spans="2:17" ht="15" thickBot="1" x14ac:dyDescent="0.4">
      <c r="B11" s="370"/>
      <c r="C11" s="103" t="s">
        <v>740</v>
      </c>
      <c r="D11" s="159"/>
      <c r="E11" s="153">
        <f>E10-E10/(1+$D10)</f>
        <v>0</v>
      </c>
      <c r="F11" s="153">
        <f t="shared" ref="F11:P11" si="3">F10-F10/(1+$D10)</f>
        <v>0</v>
      </c>
      <c r="G11" s="153">
        <f t="shared" si="3"/>
        <v>0</v>
      </c>
      <c r="H11" s="153">
        <f t="shared" si="3"/>
        <v>0</v>
      </c>
      <c r="I11" s="153">
        <f t="shared" si="3"/>
        <v>0</v>
      </c>
      <c r="J11" s="153">
        <f t="shared" si="3"/>
        <v>0</v>
      </c>
      <c r="K11" s="153">
        <f t="shared" si="3"/>
        <v>0</v>
      </c>
      <c r="L11" s="153">
        <f t="shared" si="3"/>
        <v>0</v>
      </c>
      <c r="M11" s="153">
        <f t="shared" si="3"/>
        <v>0</v>
      </c>
      <c r="N11" s="153">
        <f t="shared" si="3"/>
        <v>0</v>
      </c>
      <c r="O11" s="153">
        <f t="shared" si="3"/>
        <v>0</v>
      </c>
      <c r="P11" s="153">
        <f t="shared" si="3"/>
        <v>0</v>
      </c>
      <c r="Q11" s="295">
        <f t="shared" si="1"/>
        <v>0</v>
      </c>
    </row>
    <row r="12" spans="2:17" ht="15.5" thickTop="1" thickBot="1" x14ac:dyDescent="0.4">
      <c r="B12" s="373"/>
      <c r="C12" s="374" t="s">
        <v>742</v>
      </c>
      <c r="D12" s="375"/>
      <c r="E12" s="376">
        <f>E7+E9+E11</f>
        <v>0</v>
      </c>
      <c r="F12" s="376">
        <f t="shared" ref="F12:P12" si="4">F7+F9+F11</f>
        <v>0</v>
      </c>
      <c r="G12" s="376">
        <f t="shared" si="4"/>
        <v>0</v>
      </c>
      <c r="H12" s="376">
        <f t="shared" si="4"/>
        <v>0</v>
      </c>
      <c r="I12" s="376">
        <f t="shared" si="4"/>
        <v>0</v>
      </c>
      <c r="J12" s="376">
        <f t="shared" si="4"/>
        <v>0</v>
      </c>
      <c r="K12" s="376">
        <f t="shared" si="4"/>
        <v>0</v>
      </c>
      <c r="L12" s="376">
        <f t="shared" si="4"/>
        <v>0</v>
      </c>
      <c r="M12" s="376">
        <f t="shared" si="4"/>
        <v>0</v>
      </c>
      <c r="N12" s="376">
        <f t="shared" si="4"/>
        <v>0</v>
      </c>
      <c r="O12" s="376">
        <f t="shared" si="4"/>
        <v>0</v>
      </c>
      <c r="P12" s="376">
        <f t="shared" si="4"/>
        <v>0</v>
      </c>
      <c r="Q12" s="376">
        <f t="shared" si="1"/>
        <v>0</v>
      </c>
    </row>
    <row r="13" spans="2:17" ht="15" thickTop="1" x14ac:dyDescent="0.35">
      <c r="B13" s="369" t="str">
        <f>'9 KASSABUDJETTI'!C22</f>
        <v>6.</v>
      </c>
      <c r="C13" s="145" t="str">
        <f>'9 KASSABUDJETTI'!D22</f>
        <v>Aineet ja tarvikkeet</v>
      </c>
      <c r="D13" s="377">
        <f>'9 KASSABUDJETTI'!F22</f>
        <v>0.255</v>
      </c>
      <c r="E13" s="209">
        <f>'9 KASSABUDJETTI'!G22</f>
        <v>0</v>
      </c>
      <c r="F13" s="209">
        <f>'9 KASSABUDJETTI'!H22</f>
        <v>0</v>
      </c>
      <c r="G13" s="209">
        <f>'9 KASSABUDJETTI'!I22</f>
        <v>0</v>
      </c>
      <c r="H13" s="209">
        <f>'9 KASSABUDJETTI'!J22</f>
        <v>0</v>
      </c>
      <c r="I13" s="209">
        <f>'9 KASSABUDJETTI'!K22</f>
        <v>0</v>
      </c>
      <c r="J13" s="209">
        <f>'9 KASSABUDJETTI'!L22</f>
        <v>0</v>
      </c>
      <c r="K13" s="209">
        <f>'9 KASSABUDJETTI'!M22</f>
        <v>0</v>
      </c>
      <c r="L13" s="209">
        <f>'9 KASSABUDJETTI'!N22</f>
        <v>0</v>
      </c>
      <c r="M13" s="209">
        <f>'9 KASSABUDJETTI'!O22</f>
        <v>0</v>
      </c>
      <c r="N13" s="209">
        <f>'9 KASSABUDJETTI'!P22</f>
        <v>0</v>
      </c>
      <c r="O13" s="209">
        <f>'9 KASSABUDJETTI'!Q22</f>
        <v>0</v>
      </c>
      <c r="P13" s="209">
        <f>'9 KASSABUDJETTI'!R22</f>
        <v>0</v>
      </c>
      <c r="Q13" s="152">
        <f>SUM(E13:P13)</f>
        <v>0</v>
      </c>
    </row>
    <row r="14" spans="2:17" x14ac:dyDescent="0.35">
      <c r="B14" s="368"/>
      <c r="C14" s="53" t="s">
        <v>740</v>
      </c>
      <c r="D14" s="142"/>
      <c r="E14" s="151">
        <f>E13-E13/(1+$D13)</f>
        <v>0</v>
      </c>
      <c r="F14" s="151">
        <f t="shared" ref="F14:P14" si="5">F13-F13/(1+$D13)</f>
        <v>0</v>
      </c>
      <c r="G14" s="151">
        <f t="shared" si="5"/>
        <v>0</v>
      </c>
      <c r="H14" s="151">
        <f t="shared" si="5"/>
        <v>0</v>
      </c>
      <c r="I14" s="151">
        <f t="shared" si="5"/>
        <v>0</v>
      </c>
      <c r="J14" s="151">
        <f t="shared" si="5"/>
        <v>0</v>
      </c>
      <c r="K14" s="151">
        <f t="shared" si="5"/>
        <v>0</v>
      </c>
      <c r="L14" s="151">
        <f t="shared" si="5"/>
        <v>0</v>
      </c>
      <c r="M14" s="151">
        <f t="shared" si="5"/>
        <v>0</v>
      </c>
      <c r="N14" s="151">
        <f t="shared" si="5"/>
        <v>0</v>
      </c>
      <c r="O14" s="151">
        <f t="shared" si="5"/>
        <v>0</v>
      </c>
      <c r="P14" s="151">
        <f t="shared" si="5"/>
        <v>0</v>
      </c>
      <c r="Q14" s="162">
        <f t="shared" ref="Q14:Q28" si="6">SUM(E14:P14)</f>
        <v>0</v>
      </c>
    </row>
    <row r="15" spans="2:17" x14ac:dyDescent="0.35">
      <c r="B15" s="368" t="str">
        <f>'9 KASSABUDJETTI'!C24</f>
        <v>7.a</v>
      </c>
      <c r="C15" s="53" t="str">
        <f>'9 KASSABUDJETTI'!D24</f>
        <v>Liiketoimintakaupan tavaravarasto, alkuvarasto</v>
      </c>
      <c r="D15" s="378">
        <f>'9 KASSABUDJETTI'!F24</f>
        <v>0</v>
      </c>
      <c r="E15" s="151">
        <f>'9 KASSABUDJETTI'!G24</f>
        <v>0</v>
      </c>
      <c r="F15" s="151">
        <f>'9 KASSABUDJETTI'!H24</f>
        <v>0</v>
      </c>
      <c r="G15" s="151">
        <f>'9 KASSABUDJETTI'!I24</f>
        <v>0</v>
      </c>
      <c r="H15" s="151">
        <f>'9 KASSABUDJETTI'!J24</f>
        <v>0</v>
      </c>
      <c r="I15" s="151">
        <f>'9 KASSABUDJETTI'!K24</f>
        <v>0</v>
      </c>
      <c r="J15" s="151">
        <f>'9 KASSABUDJETTI'!L24</f>
        <v>0</v>
      </c>
      <c r="K15" s="151">
        <f>'9 KASSABUDJETTI'!M24</f>
        <v>0</v>
      </c>
      <c r="L15" s="151">
        <f>'9 KASSABUDJETTI'!N24</f>
        <v>0</v>
      </c>
      <c r="M15" s="151">
        <f>'9 KASSABUDJETTI'!O24</f>
        <v>0</v>
      </c>
      <c r="N15" s="151">
        <f>'9 KASSABUDJETTI'!P24</f>
        <v>0</v>
      </c>
      <c r="O15" s="151">
        <f>'9 KASSABUDJETTI'!Q24</f>
        <v>0</v>
      </c>
      <c r="P15" s="151">
        <f>'9 KASSABUDJETTI'!R24</f>
        <v>0</v>
      </c>
      <c r="Q15" s="162">
        <f t="shared" si="6"/>
        <v>0</v>
      </c>
    </row>
    <row r="16" spans="2:17" x14ac:dyDescent="0.35">
      <c r="B16" s="368"/>
      <c r="C16" s="53" t="s">
        <v>740</v>
      </c>
      <c r="D16" s="371"/>
      <c r="E16" s="151">
        <f>E15-E15/(1+$D15)</f>
        <v>0</v>
      </c>
      <c r="F16" s="151">
        <f t="shared" ref="F16:P16" si="7">F15-F15/(1+$D15)</f>
        <v>0</v>
      </c>
      <c r="G16" s="151">
        <f t="shared" si="7"/>
        <v>0</v>
      </c>
      <c r="H16" s="151">
        <f t="shared" si="7"/>
        <v>0</v>
      </c>
      <c r="I16" s="151">
        <f t="shared" si="7"/>
        <v>0</v>
      </c>
      <c r="J16" s="151">
        <f t="shared" si="7"/>
        <v>0</v>
      </c>
      <c r="K16" s="151">
        <f t="shared" si="7"/>
        <v>0</v>
      </c>
      <c r="L16" s="151">
        <f t="shared" si="7"/>
        <v>0</v>
      </c>
      <c r="M16" s="151">
        <f t="shared" si="7"/>
        <v>0</v>
      </c>
      <c r="N16" s="151">
        <f t="shared" si="7"/>
        <v>0</v>
      </c>
      <c r="O16" s="151">
        <f t="shared" si="7"/>
        <v>0</v>
      </c>
      <c r="P16" s="151">
        <f t="shared" si="7"/>
        <v>0</v>
      </c>
      <c r="Q16" s="162">
        <f t="shared" si="6"/>
        <v>0</v>
      </c>
    </row>
    <row r="17" spans="2:18" x14ac:dyDescent="0.35">
      <c r="B17" s="368" t="str">
        <f>'9 KASSABUDJETTI'!C25</f>
        <v>7.b</v>
      </c>
      <c r="C17" s="53" t="str">
        <f>'9 KASSABUDJETTI'!D25</f>
        <v>Ulkopuoliset palvelut</v>
      </c>
      <c r="D17" s="294">
        <f>'9 KASSABUDJETTI'!F25</f>
        <v>0.255</v>
      </c>
      <c r="E17" s="151">
        <f>'9 KASSABUDJETTI'!G25</f>
        <v>0</v>
      </c>
      <c r="F17" s="151">
        <f>'9 KASSABUDJETTI'!H25</f>
        <v>0</v>
      </c>
      <c r="G17" s="151">
        <f>'9 KASSABUDJETTI'!I25</f>
        <v>0</v>
      </c>
      <c r="H17" s="151">
        <f>'9 KASSABUDJETTI'!J25</f>
        <v>0</v>
      </c>
      <c r="I17" s="151">
        <f>'9 KASSABUDJETTI'!K25</f>
        <v>0</v>
      </c>
      <c r="J17" s="151">
        <f>'9 KASSABUDJETTI'!L25</f>
        <v>0</v>
      </c>
      <c r="K17" s="151">
        <f>'9 KASSABUDJETTI'!M25</f>
        <v>0</v>
      </c>
      <c r="L17" s="151">
        <f>'9 KASSABUDJETTI'!N25</f>
        <v>0</v>
      </c>
      <c r="M17" s="151">
        <f>'9 KASSABUDJETTI'!O25</f>
        <v>0</v>
      </c>
      <c r="N17" s="151">
        <f>'9 KASSABUDJETTI'!P25</f>
        <v>0</v>
      </c>
      <c r="O17" s="151">
        <f>'9 KASSABUDJETTI'!Q25</f>
        <v>0</v>
      </c>
      <c r="P17" s="151">
        <f>'9 KASSABUDJETTI'!R25</f>
        <v>0</v>
      </c>
      <c r="Q17" s="162">
        <f t="shared" si="6"/>
        <v>0</v>
      </c>
    </row>
    <row r="18" spans="2:18" x14ac:dyDescent="0.35">
      <c r="B18" s="368"/>
      <c r="C18" s="53" t="s">
        <v>740</v>
      </c>
      <c r="D18" s="142"/>
      <c r="E18" s="151">
        <f>E17-E17/(1+$D17)</f>
        <v>0</v>
      </c>
      <c r="F18" s="151">
        <f t="shared" ref="F18:P18" si="8">F17-F17/(1+$D17)</f>
        <v>0</v>
      </c>
      <c r="G18" s="151">
        <f t="shared" si="8"/>
        <v>0</v>
      </c>
      <c r="H18" s="151">
        <f t="shared" si="8"/>
        <v>0</v>
      </c>
      <c r="I18" s="151">
        <f t="shared" si="8"/>
        <v>0</v>
      </c>
      <c r="J18" s="151">
        <f t="shared" si="8"/>
        <v>0</v>
      </c>
      <c r="K18" s="151">
        <f t="shared" si="8"/>
        <v>0</v>
      </c>
      <c r="L18" s="151">
        <f t="shared" si="8"/>
        <v>0</v>
      </c>
      <c r="M18" s="151">
        <f t="shared" si="8"/>
        <v>0</v>
      </c>
      <c r="N18" s="151">
        <f t="shared" si="8"/>
        <v>0</v>
      </c>
      <c r="O18" s="151">
        <f t="shared" si="8"/>
        <v>0</v>
      </c>
      <c r="P18" s="151">
        <f t="shared" si="8"/>
        <v>0</v>
      </c>
      <c r="Q18" s="162">
        <f t="shared" si="6"/>
        <v>0</v>
      </c>
    </row>
    <row r="19" spans="2:18" x14ac:dyDescent="0.35">
      <c r="B19" s="368" t="str">
        <f>'9 KASSABUDJETTI'!C26</f>
        <v>8.</v>
      </c>
      <c r="C19" s="53" t="str">
        <f>'9 KASSABUDJETTI'!D26</f>
        <v>Investoinnit (sis. alv)</v>
      </c>
      <c r="D19" s="294">
        <f>'9 KASSABUDJETTI'!F26</f>
        <v>0.255</v>
      </c>
      <c r="E19" s="151">
        <f>'9 KASSABUDJETTI'!G26</f>
        <v>0</v>
      </c>
      <c r="F19" s="151">
        <f>'9 KASSABUDJETTI'!H26</f>
        <v>0</v>
      </c>
      <c r="G19" s="151">
        <f>'9 KASSABUDJETTI'!I26</f>
        <v>0</v>
      </c>
      <c r="H19" s="151">
        <f>'9 KASSABUDJETTI'!J26</f>
        <v>0</v>
      </c>
      <c r="I19" s="151">
        <f>'9 KASSABUDJETTI'!K26</f>
        <v>0</v>
      </c>
      <c r="J19" s="151">
        <f>'9 KASSABUDJETTI'!L26</f>
        <v>0</v>
      </c>
      <c r="K19" s="151">
        <f>'9 KASSABUDJETTI'!M26</f>
        <v>0</v>
      </c>
      <c r="L19" s="151">
        <f>'9 KASSABUDJETTI'!N26</f>
        <v>0</v>
      </c>
      <c r="M19" s="151">
        <f>'9 KASSABUDJETTI'!O26</f>
        <v>0</v>
      </c>
      <c r="N19" s="151">
        <f>'9 KASSABUDJETTI'!P26</f>
        <v>0</v>
      </c>
      <c r="O19" s="151">
        <f>'9 KASSABUDJETTI'!Q26</f>
        <v>0</v>
      </c>
      <c r="P19" s="151">
        <f>'9 KASSABUDJETTI'!R26</f>
        <v>0</v>
      </c>
      <c r="Q19" s="162">
        <f t="shared" si="6"/>
        <v>0</v>
      </c>
    </row>
    <row r="20" spans="2:18" x14ac:dyDescent="0.35">
      <c r="B20" s="368"/>
      <c r="C20" s="53" t="s">
        <v>740</v>
      </c>
      <c r="D20" s="366"/>
      <c r="E20" s="151">
        <f>E19-E19/(1+$D19)</f>
        <v>0</v>
      </c>
      <c r="F20" s="151">
        <f t="shared" ref="F20:P20" si="9">F19-F19/(1+$D19)</f>
        <v>0</v>
      </c>
      <c r="G20" s="151">
        <f t="shared" si="9"/>
        <v>0</v>
      </c>
      <c r="H20" s="151">
        <f t="shared" si="9"/>
        <v>0</v>
      </c>
      <c r="I20" s="151">
        <f t="shared" si="9"/>
        <v>0</v>
      </c>
      <c r="J20" s="151">
        <f t="shared" si="9"/>
        <v>0</v>
      </c>
      <c r="K20" s="151">
        <f t="shared" si="9"/>
        <v>0</v>
      </c>
      <c r="L20" s="151">
        <f t="shared" si="9"/>
        <v>0</v>
      </c>
      <c r="M20" s="151">
        <f t="shared" si="9"/>
        <v>0</v>
      </c>
      <c r="N20" s="151">
        <f t="shared" si="9"/>
        <v>0</v>
      </c>
      <c r="O20" s="151">
        <f t="shared" si="9"/>
        <v>0</v>
      </c>
      <c r="P20" s="151">
        <f t="shared" si="9"/>
        <v>0</v>
      </c>
      <c r="Q20" s="162">
        <f t="shared" si="6"/>
        <v>0</v>
      </c>
    </row>
    <row r="21" spans="2:18" x14ac:dyDescent="0.35">
      <c r="B21" s="368" t="str">
        <f>'9 KASSABUDJETTI'!C27</f>
        <v>9.</v>
      </c>
      <c r="C21" s="53" t="str">
        <f>'9 KASSABUDJETTI'!D27</f>
        <v>Vuokrat ja vastikkeet (sis. alv)</v>
      </c>
      <c r="D21" s="294">
        <f>'9 KASSABUDJETTI'!F27</f>
        <v>0.255</v>
      </c>
      <c r="E21" s="151">
        <f>'9 KASSABUDJETTI'!G27</f>
        <v>0</v>
      </c>
      <c r="F21" s="151">
        <f>'9 KASSABUDJETTI'!H27</f>
        <v>0</v>
      </c>
      <c r="G21" s="151">
        <f>'9 KASSABUDJETTI'!I27</f>
        <v>0</v>
      </c>
      <c r="H21" s="151">
        <f>'9 KASSABUDJETTI'!J27</f>
        <v>0</v>
      </c>
      <c r="I21" s="151">
        <f>'9 KASSABUDJETTI'!K27</f>
        <v>0</v>
      </c>
      <c r="J21" s="151">
        <f>'9 KASSABUDJETTI'!L27</f>
        <v>0</v>
      </c>
      <c r="K21" s="151">
        <f>'9 KASSABUDJETTI'!M27</f>
        <v>0</v>
      </c>
      <c r="L21" s="151">
        <f>'9 KASSABUDJETTI'!N27</f>
        <v>0</v>
      </c>
      <c r="M21" s="151">
        <f>'9 KASSABUDJETTI'!O27</f>
        <v>0</v>
      </c>
      <c r="N21" s="151">
        <f>'9 KASSABUDJETTI'!P27</f>
        <v>0</v>
      </c>
      <c r="O21" s="151">
        <f>'9 KASSABUDJETTI'!Q27</f>
        <v>0</v>
      </c>
      <c r="P21" s="151">
        <f>'9 KASSABUDJETTI'!R27</f>
        <v>0</v>
      </c>
      <c r="Q21" s="162">
        <f t="shared" si="6"/>
        <v>0</v>
      </c>
    </row>
    <row r="22" spans="2:18" x14ac:dyDescent="0.35">
      <c r="B22" s="368"/>
      <c r="C22" s="53" t="s">
        <v>740</v>
      </c>
      <c r="D22" s="142"/>
      <c r="E22" s="151">
        <f>E21-E21/(1+$D21)</f>
        <v>0</v>
      </c>
      <c r="F22" s="151">
        <f t="shared" ref="F22:P22" si="10">F21-F21/(1+$D21)</f>
        <v>0</v>
      </c>
      <c r="G22" s="151">
        <f>G21-G21/(1+$D21)</f>
        <v>0</v>
      </c>
      <c r="H22" s="151">
        <f t="shared" si="10"/>
        <v>0</v>
      </c>
      <c r="I22" s="151">
        <f t="shared" si="10"/>
        <v>0</v>
      </c>
      <c r="J22" s="151">
        <f t="shared" si="10"/>
        <v>0</v>
      </c>
      <c r="K22" s="151">
        <f t="shared" si="10"/>
        <v>0</v>
      </c>
      <c r="L22" s="151">
        <f t="shared" si="10"/>
        <v>0</v>
      </c>
      <c r="M22" s="151">
        <f t="shared" si="10"/>
        <v>0</v>
      </c>
      <c r="N22" s="151">
        <f t="shared" si="10"/>
        <v>0</v>
      </c>
      <c r="O22" s="151">
        <f t="shared" si="10"/>
        <v>0</v>
      </c>
      <c r="P22" s="151">
        <f t="shared" si="10"/>
        <v>0</v>
      </c>
      <c r="Q22" s="162">
        <f t="shared" si="6"/>
        <v>0</v>
      </c>
    </row>
    <row r="23" spans="2:18" x14ac:dyDescent="0.35">
      <c r="B23" s="368" t="str">
        <f>'9 KASSABUDJETTI'!C28</f>
        <v>10.</v>
      </c>
      <c r="C23" s="53" t="str">
        <f>'9 KASSABUDJETTI'!D28</f>
        <v>Ajoneuvojen leasing- ja vuokrakulut, liikekäyttö</v>
      </c>
      <c r="D23" s="294">
        <f>'9 KASSABUDJETTI'!F28</f>
        <v>0.255</v>
      </c>
      <c r="E23" s="151">
        <f>'9 KASSABUDJETTI'!G28</f>
        <v>0</v>
      </c>
      <c r="F23" s="151">
        <f>'9 KASSABUDJETTI'!H28</f>
        <v>0</v>
      </c>
      <c r="G23" s="151">
        <f>'9 KASSABUDJETTI'!I28</f>
        <v>0</v>
      </c>
      <c r="H23" s="151">
        <f>'9 KASSABUDJETTI'!J28</f>
        <v>0</v>
      </c>
      <c r="I23" s="151">
        <f>'9 KASSABUDJETTI'!K28</f>
        <v>0</v>
      </c>
      <c r="J23" s="151">
        <f>'9 KASSABUDJETTI'!L28</f>
        <v>0</v>
      </c>
      <c r="K23" s="151">
        <f>'9 KASSABUDJETTI'!M28</f>
        <v>0</v>
      </c>
      <c r="L23" s="151">
        <f>'9 KASSABUDJETTI'!N28</f>
        <v>0</v>
      </c>
      <c r="M23" s="151">
        <f>'9 KASSABUDJETTI'!O28</f>
        <v>0</v>
      </c>
      <c r="N23" s="151">
        <f>'9 KASSABUDJETTI'!P28</f>
        <v>0</v>
      </c>
      <c r="O23" s="151">
        <f>'9 KASSABUDJETTI'!Q28</f>
        <v>0</v>
      </c>
      <c r="P23" s="151">
        <f>'9 KASSABUDJETTI'!R28</f>
        <v>0</v>
      </c>
      <c r="Q23" s="162">
        <f t="shared" si="6"/>
        <v>0</v>
      </c>
    </row>
    <row r="24" spans="2:18" x14ac:dyDescent="0.35">
      <c r="B24" s="368"/>
      <c r="C24" s="53" t="s">
        <v>740</v>
      </c>
      <c r="D24" s="366"/>
      <c r="E24" s="151">
        <f>E23-E23/(1+$D23)</f>
        <v>0</v>
      </c>
      <c r="F24" s="151">
        <f t="shared" ref="F24:P24" si="11">F23-F23/(1+$D23)</f>
        <v>0</v>
      </c>
      <c r="G24" s="151">
        <f t="shared" si="11"/>
        <v>0</v>
      </c>
      <c r="H24" s="151">
        <f t="shared" si="11"/>
        <v>0</v>
      </c>
      <c r="I24" s="151">
        <f t="shared" si="11"/>
        <v>0</v>
      </c>
      <c r="J24" s="151">
        <f t="shared" si="11"/>
        <v>0</v>
      </c>
      <c r="K24" s="151">
        <f t="shared" si="11"/>
        <v>0</v>
      </c>
      <c r="L24" s="151">
        <f t="shared" si="11"/>
        <v>0</v>
      </c>
      <c r="M24" s="151">
        <f t="shared" si="11"/>
        <v>0</v>
      </c>
      <c r="N24" s="151">
        <f t="shared" si="11"/>
        <v>0</v>
      </c>
      <c r="O24" s="151">
        <f t="shared" si="11"/>
        <v>0</v>
      </c>
      <c r="P24" s="151">
        <f t="shared" si="11"/>
        <v>0</v>
      </c>
      <c r="Q24" s="162">
        <f t="shared" si="6"/>
        <v>0</v>
      </c>
    </row>
    <row r="25" spans="2:18" x14ac:dyDescent="0.35">
      <c r="B25" s="368" t="str">
        <f>'9 KASSABUDJETTI'!C29</f>
        <v>11.</v>
      </c>
      <c r="C25" s="53" t="str">
        <f>'9 KASSABUDJETTI'!D29</f>
        <v>Muut kiinteät kulut (sis. alv)</v>
      </c>
      <c r="D25" s="294">
        <f>'9 KASSABUDJETTI'!F29</f>
        <v>0</v>
      </c>
      <c r="E25" s="151">
        <f>'9 KASSABUDJETTI'!G29</f>
        <v>0</v>
      </c>
      <c r="F25" s="151">
        <f>'9 KASSABUDJETTI'!H29</f>
        <v>0</v>
      </c>
      <c r="G25" s="151">
        <f>'9 KASSABUDJETTI'!I29</f>
        <v>0</v>
      </c>
      <c r="H25" s="151">
        <f>'9 KASSABUDJETTI'!J29</f>
        <v>0</v>
      </c>
      <c r="I25" s="151">
        <f>'9 KASSABUDJETTI'!K29</f>
        <v>0</v>
      </c>
      <c r="J25" s="151">
        <f>'9 KASSABUDJETTI'!L29</f>
        <v>0</v>
      </c>
      <c r="K25" s="151">
        <f>'9 KASSABUDJETTI'!M29</f>
        <v>0</v>
      </c>
      <c r="L25" s="151">
        <f>'9 KASSABUDJETTI'!N29</f>
        <v>0</v>
      </c>
      <c r="M25" s="151">
        <f>'9 KASSABUDJETTI'!O29</f>
        <v>0</v>
      </c>
      <c r="N25" s="151">
        <f>'9 KASSABUDJETTI'!P29</f>
        <v>0</v>
      </c>
      <c r="O25" s="151">
        <f>'9 KASSABUDJETTI'!Q29</f>
        <v>0</v>
      </c>
      <c r="P25" s="151">
        <f>'9 KASSABUDJETTI'!R29</f>
        <v>0</v>
      </c>
      <c r="Q25" s="162">
        <f t="shared" si="6"/>
        <v>0</v>
      </c>
    </row>
    <row r="26" spans="2:18" ht="15" thickBot="1" x14ac:dyDescent="0.4">
      <c r="B26" s="370"/>
      <c r="C26" s="103" t="s">
        <v>740</v>
      </c>
      <c r="D26" s="372"/>
      <c r="E26" s="153">
        <f>E25-E25/(1+$D25)</f>
        <v>0</v>
      </c>
      <c r="F26" s="153">
        <f t="shared" ref="F26:P26" si="12">F25-F25/(1+$D25)</f>
        <v>0</v>
      </c>
      <c r="G26" s="153">
        <f t="shared" si="12"/>
        <v>0</v>
      </c>
      <c r="H26" s="153">
        <f t="shared" si="12"/>
        <v>0</v>
      </c>
      <c r="I26" s="153">
        <f t="shared" si="12"/>
        <v>0</v>
      </c>
      <c r="J26" s="153">
        <f t="shared" si="12"/>
        <v>0</v>
      </c>
      <c r="K26" s="153">
        <f t="shared" si="12"/>
        <v>0</v>
      </c>
      <c r="L26" s="153">
        <f t="shared" si="12"/>
        <v>0</v>
      </c>
      <c r="M26" s="153">
        <f t="shared" si="12"/>
        <v>0</v>
      </c>
      <c r="N26" s="153">
        <f t="shared" si="12"/>
        <v>0</v>
      </c>
      <c r="O26" s="153">
        <f t="shared" si="12"/>
        <v>0</v>
      </c>
      <c r="P26" s="153">
        <f t="shared" si="12"/>
        <v>0</v>
      </c>
      <c r="Q26" s="295">
        <f t="shared" si="6"/>
        <v>0</v>
      </c>
    </row>
    <row r="27" spans="2:18" ht="15.5" thickTop="1" thickBot="1" x14ac:dyDescent="0.4">
      <c r="B27" s="373"/>
      <c r="C27" s="374" t="s">
        <v>743</v>
      </c>
      <c r="D27" s="375"/>
      <c r="E27" s="376">
        <f>E14+E16+E18+E20+E22+E24+E26</f>
        <v>0</v>
      </c>
      <c r="F27" s="376">
        <f t="shared" ref="F27:P27" si="13">F14+F16+F18+F20+F22+F24+F26</f>
        <v>0</v>
      </c>
      <c r="G27" s="376">
        <f t="shared" si="13"/>
        <v>0</v>
      </c>
      <c r="H27" s="376">
        <f t="shared" si="13"/>
        <v>0</v>
      </c>
      <c r="I27" s="376">
        <f t="shared" si="13"/>
        <v>0</v>
      </c>
      <c r="J27" s="376">
        <f t="shared" si="13"/>
        <v>0</v>
      </c>
      <c r="K27" s="376">
        <f t="shared" si="13"/>
        <v>0</v>
      </c>
      <c r="L27" s="376">
        <f t="shared" si="13"/>
        <v>0</v>
      </c>
      <c r="M27" s="376">
        <f t="shared" si="13"/>
        <v>0</v>
      </c>
      <c r="N27" s="376">
        <f t="shared" si="13"/>
        <v>0</v>
      </c>
      <c r="O27" s="376">
        <f t="shared" si="13"/>
        <v>0</v>
      </c>
      <c r="P27" s="376">
        <f t="shared" si="13"/>
        <v>0</v>
      </c>
      <c r="Q27" s="376">
        <f t="shared" si="6"/>
        <v>0</v>
      </c>
    </row>
    <row r="28" spans="2:18" ht="15.5" thickTop="1" thickBot="1" x14ac:dyDescent="0.4">
      <c r="B28" s="485"/>
      <c r="C28" s="486" t="s">
        <v>744</v>
      </c>
      <c r="D28" s="487"/>
      <c r="E28" s="488">
        <f>E12-E27</f>
        <v>0</v>
      </c>
      <c r="F28" s="488">
        <f t="shared" ref="F28:P28" si="14">F12-F27</f>
        <v>0</v>
      </c>
      <c r="G28" s="488">
        <f t="shared" si="14"/>
        <v>0</v>
      </c>
      <c r="H28" s="488">
        <f t="shared" si="14"/>
        <v>0</v>
      </c>
      <c r="I28" s="488">
        <f t="shared" si="14"/>
        <v>0</v>
      </c>
      <c r="J28" s="488">
        <f t="shared" si="14"/>
        <v>0</v>
      </c>
      <c r="K28" s="488">
        <f t="shared" si="14"/>
        <v>0</v>
      </c>
      <c r="L28" s="488">
        <f t="shared" si="14"/>
        <v>0</v>
      </c>
      <c r="M28" s="488">
        <f t="shared" si="14"/>
        <v>0</v>
      </c>
      <c r="N28" s="488">
        <f t="shared" si="14"/>
        <v>0</v>
      </c>
      <c r="O28" s="488">
        <f t="shared" si="14"/>
        <v>0</v>
      </c>
      <c r="P28" s="488">
        <f t="shared" si="14"/>
        <v>0</v>
      </c>
      <c r="Q28" s="488">
        <f t="shared" si="6"/>
        <v>0</v>
      </c>
    </row>
    <row r="29" spans="2:18" ht="15" thickTop="1" x14ac:dyDescent="0.35"/>
    <row r="30" spans="2:18" x14ac:dyDescent="0.35">
      <c r="B30" s="342" t="str">
        <f>'9 KASSABUDJETTI'!C38</f>
        <v>20.</v>
      </c>
      <c r="C30" s="5" t="str">
        <f>'9 KASSABUDJETTI'!D38</f>
        <v>Rahoitusmenot (lainojen korkokustannukset)</v>
      </c>
      <c r="D30" s="379">
        <f>'9 KASSABUDJETTI'!F38</f>
        <v>0</v>
      </c>
      <c r="E30" s="129">
        <f>'9 KASSABUDJETTI'!G38</f>
        <v>0</v>
      </c>
      <c r="F30" s="129">
        <f>'9 KASSABUDJETTI'!H38</f>
        <v>0</v>
      </c>
      <c r="G30" s="129">
        <f>'9 KASSABUDJETTI'!I38</f>
        <v>0</v>
      </c>
      <c r="H30" s="129">
        <f>'9 KASSABUDJETTI'!J38</f>
        <v>0</v>
      </c>
      <c r="I30" s="129">
        <f>'9 KASSABUDJETTI'!K38</f>
        <v>0</v>
      </c>
      <c r="J30" s="129">
        <f>'9 KASSABUDJETTI'!L38</f>
        <v>0</v>
      </c>
      <c r="K30" s="129">
        <f>'9 KASSABUDJETTI'!M38</f>
        <v>0</v>
      </c>
      <c r="L30" s="129">
        <f>'9 KASSABUDJETTI'!N38</f>
        <v>0</v>
      </c>
      <c r="M30" s="129">
        <f>'9 KASSABUDJETTI'!O38</f>
        <v>0</v>
      </c>
      <c r="N30" s="129">
        <f>'9 KASSABUDJETTI'!P38</f>
        <v>0</v>
      </c>
      <c r="O30" s="129">
        <f>'9 KASSABUDJETTI'!Q38</f>
        <v>0</v>
      </c>
      <c r="P30" s="129">
        <f>'9 KASSABUDJETTI'!R38</f>
        <v>0</v>
      </c>
      <c r="Q30" s="381">
        <f>SUM(E30:P30)</f>
        <v>0</v>
      </c>
      <c r="R30" s="381">
        <f>'9 KASSABUDJETTI'!R38</f>
        <v>0</v>
      </c>
    </row>
    <row r="32" spans="2:18" ht="16" x14ac:dyDescent="0.4">
      <c r="D32" s="380" t="s">
        <v>745</v>
      </c>
      <c r="E32" s="407">
        <f>'9 KASSABUDJETTI'!I62</f>
        <v>2027</v>
      </c>
    </row>
    <row r="34" spans="2:17" x14ac:dyDescent="0.35">
      <c r="B34" s="428"/>
      <c r="C34" s="423" t="s">
        <v>741</v>
      </c>
      <c r="D34" s="476" t="str">
        <f>'9 KASSABUDJETTI'!F65</f>
        <v>Alv-%</v>
      </c>
      <c r="E34" s="477">
        <f>'9 KASSABUDJETTI'!G65</f>
        <v>46388</v>
      </c>
      <c r="F34" s="477">
        <f>'9 KASSABUDJETTI'!H65</f>
        <v>46419</v>
      </c>
      <c r="G34" s="477">
        <f>'9 KASSABUDJETTI'!I65</f>
        <v>46450</v>
      </c>
      <c r="H34" s="477">
        <f>'9 KASSABUDJETTI'!J65</f>
        <v>46481</v>
      </c>
      <c r="I34" s="477">
        <f>'9 KASSABUDJETTI'!K65</f>
        <v>46512</v>
      </c>
      <c r="J34" s="477">
        <f>'9 KASSABUDJETTI'!L65</f>
        <v>46543</v>
      </c>
      <c r="K34" s="477">
        <f>'9 KASSABUDJETTI'!M65</f>
        <v>46574</v>
      </c>
      <c r="L34" s="477">
        <f>'9 KASSABUDJETTI'!N65</f>
        <v>46605</v>
      </c>
      <c r="M34" s="477">
        <f>'9 KASSABUDJETTI'!O65</f>
        <v>46636</v>
      </c>
      <c r="N34" s="477">
        <f>'9 KASSABUDJETTI'!P65</f>
        <v>46667</v>
      </c>
      <c r="O34" s="477">
        <f>'9 KASSABUDJETTI'!Q65</f>
        <v>46698</v>
      </c>
      <c r="P34" s="477">
        <f>'9 KASSABUDJETTI'!R65</f>
        <v>46729</v>
      </c>
      <c r="Q34" s="484" t="str">
        <f>'9 KASSABUDJETTI'!S65</f>
        <v>YHTEENSÄ</v>
      </c>
    </row>
    <row r="35" spans="2:17" x14ac:dyDescent="0.35">
      <c r="B35" s="367" t="str">
        <f>'9 KASSABUDJETTI'!C68</f>
        <v>2.</v>
      </c>
      <c r="C35" s="96" t="str">
        <f>'9 KASSABUDJETTI'!D68</f>
        <v>Käteismyynti, ennakkomaksut / myyntiosuus-%</v>
      </c>
      <c r="D35" s="294">
        <f>'9 KASSABUDJETTI'!F68</f>
        <v>0.255</v>
      </c>
      <c r="E35" s="151">
        <f>'9 KASSABUDJETTI'!G68</f>
        <v>0</v>
      </c>
      <c r="F35" s="151">
        <f>'9 KASSABUDJETTI'!H68</f>
        <v>0</v>
      </c>
      <c r="G35" s="151">
        <f>'9 KASSABUDJETTI'!I68</f>
        <v>0</v>
      </c>
      <c r="H35" s="151">
        <f>'9 KASSABUDJETTI'!J68</f>
        <v>0</v>
      </c>
      <c r="I35" s="151">
        <f>'9 KASSABUDJETTI'!K68</f>
        <v>0</v>
      </c>
      <c r="J35" s="151">
        <f>'9 KASSABUDJETTI'!L68</f>
        <v>0</v>
      </c>
      <c r="K35" s="151">
        <f>'9 KASSABUDJETTI'!M68</f>
        <v>0</v>
      </c>
      <c r="L35" s="151">
        <f>'9 KASSABUDJETTI'!N68</f>
        <v>0</v>
      </c>
      <c r="M35" s="151">
        <f>'9 KASSABUDJETTI'!O68</f>
        <v>0</v>
      </c>
      <c r="N35" s="151">
        <f>'9 KASSABUDJETTI'!P68</f>
        <v>0</v>
      </c>
      <c r="O35" s="151">
        <f>'9 KASSABUDJETTI'!Q68</f>
        <v>0</v>
      </c>
      <c r="P35" s="151">
        <f>'9 KASSABUDJETTI'!R68</f>
        <v>0</v>
      </c>
      <c r="Q35" s="162">
        <f>SUM(E35:P35)</f>
        <v>0</v>
      </c>
    </row>
    <row r="36" spans="2:17" x14ac:dyDescent="0.35">
      <c r="B36" s="368"/>
      <c r="C36" s="53" t="s">
        <v>740</v>
      </c>
      <c r="D36" s="142"/>
      <c r="E36" s="151">
        <f>E35-E35/(1+$D35)</f>
        <v>0</v>
      </c>
      <c r="F36" s="151">
        <f t="shared" ref="F36:P36" si="15">F35-F35/(1+$D35)</f>
        <v>0</v>
      </c>
      <c r="G36" s="151">
        <f t="shared" si="15"/>
        <v>0</v>
      </c>
      <c r="H36" s="151">
        <f t="shared" si="15"/>
        <v>0</v>
      </c>
      <c r="I36" s="151">
        <f t="shared" si="15"/>
        <v>0</v>
      </c>
      <c r="J36" s="151">
        <f t="shared" si="15"/>
        <v>0</v>
      </c>
      <c r="K36" s="151">
        <f t="shared" si="15"/>
        <v>0</v>
      </c>
      <c r="L36" s="151">
        <f t="shared" si="15"/>
        <v>0</v>
      </c>
      <c r="M36" s="151">
        <f t="shared" si="15"/>
        <v>0</v>
      </c>
      <c r="N36" s="151">
        <f t="shared" si="15"/>
        <v>0</v>
      </c>
      <c r="O36" s="151">
        <f t="shared" si="15"/>
        <v>0</v>
      </c>
      <c r="P36" s="151">
        <f t="shared" si="15"/>
        <v>0</v>
      </c>
      <c r="Q36" s="162">
        <f t="shared" ref="Q36:Q41" si="16">SUM(E36:P36)</f>
        <v>0</v>
      </c>
    </row>
    <row r="37" spans="2:17" x14ac:dyDescent="0.35">
      <c r="B37" s="367" t="str">
        <f>'9 KASSABUDJETTI'!C70</f>
        <v>3.</v>
      </c>
      <c r="C37" s="96" t="str">
        <f>'9 KASSABUDJETTI'!D70</f>
        <v>Laskutusmyynti</v>
      </c>
      <c r="D37" s="294">
        <f>'9 KASSABUDJETTI'!F70</f>
        <v>0.255</v>
      </c>
      <c r="E37" s="151">
        <f>'9 KASSABUDJETTI'!G70</f>
        <v>0</v>
      </c>
      <c r="F37" s="151">
        <f>'9 KASSABUDJETTI'!H70</f>
        <v>0</v>
      </c>
      <c r="G37" s="151">
        <f>'9 KASSABUDJETTI'!I70</f>
        <v>0</v>
      </c>
      <c r="H37" s="151">
        <f>'9 KASSABUDJETTI'!J70</f>
        <v>0</v>
      </c>
      <c r="I37" s="151">
        <f>'9 KASSABUDJETTI'!K70</f>
        <v>0</v>
      </c>
      <c r="J37" s="151">
        <f>'9 KASSABUDJETTI'!L70</f>
        <v>0</v>
      </c>
      <c r="K37" s="151">
        <f>'9 KASSABUDJETTI'!M70</f>
        <v>0</v>
      </c>
      <c r="L37" s="151">
        <f>'9 KASSABUDJETTI'!N70</f>
        <v>0</v>
      </c>
      <c r="M37" s="151">
        <f>'9 KASSABUDJETTI'!O70</f>
        <v>0</v>
      </c>
      <c r="N37" s="151">
        <f>'9 KASSABUDJETTI'!P70</f>
        <v>0</v>
      </c>
      <c r="O37" s="151">
        <f>'9 KASSABUDJETTI'!Q70</f>
        <v>0</v>
      </c>
      <c r="P37" s="151">
        <f>'9 KASSABUDJETTI'!R70</f>
        <v>0</v>
      </c>
      <c r="Q37" s="162">
        <f t="shared" si="16"/>
        <v>0</v>
      </c>
    </row>
    <row r="38" spans="2:17" x14ac:dyDescent="0.35">
      <c r="B38" s="368"/>
      <c r="C38" s="53" t="s">
        <v>740</v>
      </c>
      <c r="D38" s="142"/>
      <c r="E38" s="151">
        <f>E37-E37/(1+$D37)</f>
        <v>0</v>
      </c>
      <c r="F38" s="151">
        <f t="shared" ref="F38:P38" si="17">F37-F37/(1+$D37)</f>
        <v>0</v>
      </c>
      <c r="G38" s="151">
        <f t="shared" si="17"/>
        <v>0</v>
      </c>
      <c r="H38" s="151">
        <f t="shared" si="17"/>
        <v>0</v>
      </c>
      <c r="I38" s="151">
        <f t="shared" si="17"/>
        <v>0</v>
      </c>
      <c r="J38" s="151">
        <f t="shared" si="17"/>
        <v>0</v>
      </c>
      <c r="K38" s="151">
        <f t="shared" si="17"/>
        <v>0</v>
      </c>
      <c r="L38" s="151">
        <f t="shared" si="17"/>
        <v>0</v>
      </c>
      <c r="M38" s="151">
        <f t="shared" si="17"/>
        <v>0</v>
      </c>
      <c r="N38" s="151">
        <f t="shared" si="17"/>
        <v>0</v>
      </c>
      <c r="O38" s="151">
        <f t="shared" si="17"/>
        <v>0</v>
      </c>
      <c r="P38" s="151">
        <f t="shared" si="17"/>
        <v>0</v>
      </c>
      <c r="Q38" s="162">
        <f t="shared" si="16"/>
        <v>0</v>
      </c>
    </row>
    <row r="39" spans="2:17" x14ac:dyDescent="0.35">
      <c r="B39" s="367" t="str">
        <f>'9 KASSABUDJETTI'!C73</f>
        <v>4.</v>
      </c>
      <c r="C39" s="96" t="str">
        <f>'9 KASSABUDJETTI'!D73</f>
        <v>Muut tuotot sis. alv (mm. liiketoiminnan muut tuotot, saneeraus)</v>
      </c>
      <c r="D39" s="294">
        <f>'9 KASSABUDJETTI'!F73</f>
        <v>0.255</v>
      </c>
      <c r="E39" s="151">
        <f>'9 KASSABUDJETTI'!G73</f>
        <v>0</v>
      </c>
      <c r="F39" s="151">
        <f>'9 KASSABUDJETTI'!H73</f>
        <v>0</v>
      </c>
      <c r="G39" s="151">
        <f>'9 KASSABUDJETTI'!I73</f>
        <v>0</v>
      </c>
      <c r="H39" s="151">
        <f>'9 KASSABUDJETTI'!J73</f>
        <v>0</v>
      </c>
      <c r="I39" s="151">
        <f>'9 KASSABUDJETTI'!K73</f>
        <v>0</v>
      </c>
      <c r="J39" s="151">
        <f>'9 KASSABUDJETTI'!L73</f>
        <v>0</v>
      </c>
      <c r="K39" s="151">
        <f>'9 KASSABUDJETTI'!M73</f>
        <v>0</v>
      </c>
      <c r="L39" s="151">
        <f>'9 KASSABUDJETTI'!N73</f>
        <v>0</v>
      </c>
      <c r="M39" s="151">
        <f>'9 KASSABUDJETTI'!O73</f>
        <v>0</v>
      </c>
      <c r="N39" s="151">
        <f>'9 KASSABUDJETTI'!P73</f>
        <v>0</v>
      </c>
      <c r="O39" s="151">
        <f>'9 KASSABUDJETTI'!Q73</f>
        <v>0</v>
      </c>
      <c r="P39" s="151">
        <f>'9 KASSABUDJETTI'!R73</f>
        <v>0</v>
      </c>
      <c r="Q39" s="162">
        <f t="shared" si="16"/>
        <v>0</v>
      </c>
    </row>
    <row r="40" spans="2:17" ht="15" thickBot="1" x14ac:dyDescent="0.4">
      <c r="B40" s="370"/>
      <c r="C40" s="103" t="s">
        <v>740</v>
      </c>
      <c r="D40" s="159"/>
      <c r="E40" s="151">
        <f>E39-E39/(1+$D39)</f>
        <v>0</v>
      </c>
      <c r="F40" s="151">
        <f t="shared" ref="F40:P40" si="18">F39-F39/(1+$D39)</f>
        <v>0</v>
      </c>
      <c r="G40" s="151">
        <f t="shared" si="18"/>
        <v>0</v>
      </c>
      <c r="H40" s="151">
        <f t="shared" si="18"/>
        <v>0</v>
      </c>
      <c r="I40" s="151">
        <f t="shared" si="18"/>
        <v>0</v>
      </c>
      <c r="J40" s="151">
        <f t="shared" si="18"/>
        <v>0</v>
      </c>
      <c r="K40" s="151">
        <f t="shared" si="18"/>
        <v>0</v>
      </c>
      <c r="L40" s="151">
        <f t="shared" si="18"/>
        <v>0</v>
      </c>
      <c r="M40" s="151">
        <f t="shared" si="18"/>
        <v>0</v>
      </c>
      <c r="N40" s="151">
        <f t="shared" si="18"/>
        <v>0</v>
      </c>
      <c r="O40" s="151">
        <f t="shared" si="18"/>
        <v>0</v>
      </c>
      <c r="P40" s="151">
        <f t="shared" si="18"/>
        <v>0</v>
      </c>
      <c r="Q40" s="295">
        <f t="shared" si="16"/>
        <v>0</v>
      </c>
    </row>
    <row r="41" spans="2:17" ht="15.5" thickTop="1" thickBot="1" x14ac:dyDescent="0.4">
      <c r="B41" s="373"/>
      <c r="C41" s="374" t="s">
        <v>742</v>
      </c>
      <c r="D41" s="375"/>
      <c r="E41" s="376">
        <f>E36+E38+E40</f>
        <v>0</v>
      </c>
      <c r="F41" s="376">
        <f t="shared" ref="F41:P41" si="19">F36+F38+F40</f>
        <v>0</v>
      </c>
      <c r="G41" s="376">
        <f t="shared" si="19"/>
        <v>0</v>
      </c>
      <c r="H41" s="376">
        <f t="shared" si="19"/>
        <v>0</v>
      </c>
      <c r="I41" s="376">
        <f t="shared" si="19"/>
        <v>0</v>
      </c>
      <c r="J41" s="376">
        <f t="shared" si="19"/>
        <v>0</v>
      </c>
      <c r="K41" s="376">
        <f t="shared" si="19"/>
        <v>0</v>
      </c>
      <c r="L41" s="376">
        <f t="shared" si="19"/>
        <v>0</v>
      </c>
      <c r="M41" s="376">
        <f t="shared" si="19"/>
        <v>0</v>
      </c>
      <c r="N41" s="376">
        <f t="shared" si="19"/>
        <v>0</v>
      </c>
      <c r="O41" s="376">
        <f t="shared" si="19"/>
        <v>0</v>
      </c>
      <c r="P41" s="376">
        <f t="shared" si="19"/>
        <v>0</v>
      </c>
      <c r="Q41" s="376">
        <f t="shared" si="16"/>
        <v>0</v>
      </c>
    </row>
    <row r="42" spans="2:17" ht="15" thickTop="1" x14ac:dyDescent="0.35">
      <c r="B42" s="369" t="str">
        <f>'9 KASSABUDJETTI'!C78</f>
        <v>6.</v>
      </c>
      <c r="C42" s="145" t="str">
        <f>'9 KASSABUDJETTI'!D78</f>
        <v>Aineet ja tarvikkeet</v>
      </c>
      <c r="D42" s="377">
        <f>'9 KASSABUDJETTI'!F78</f>
        <v>0.255</v>
      </c>
      <c r="E42" s="209">
        <f>'9 KASSABUDJETTI'!G78</f>
        <v>0</v>
      </c>
      <c r="F42" s="209">
        <f>'9 KASSABUDJETTI'!H78</f>
        <v>0</v>
      </c>
      <c r="G42" s="209">
        <f>'9 KASSABUDJETTI'!I78</f>
        <v>0</v>
      </c>
      <c r="H42" s="209">
        <f>'9 KASSABUDJETTI'!J78</f>
        <v>0</v>
      </c>
      <c r="I42" s="209">
        <f>'9 KASSABUDJETTI'!K78</f>
        <v>0</v>
      </c>
      <c r="J42" s="209">
        <f>'9 KASSABUDJETTI'!L78</f>
        <v>0</v>
      </c>
      <c r="K42" s="209">
        <f>'9 KASSABUDJETTI'!M78</f>
        <v>0</v>
      </c>
      <c r="L42" s="209">
        <f>'9 KASSABUDJETTI'!N78</f>
        <v>0</v>
      </c>
      <c r="M42" s="209">
        <f>'9 KASSABUDJETTI'!O78</f>
        <v>0</v>
      </c>
      <c r="N42" s="209">
        <f>'9 KASSABUDJETTI'!P78</f>
        <v>0</v>
      </c>
      <c r="O42" s="209">
        <f>'9 KASSABUDJETTI'!Q78</f>
        <v>0</v>
      </c>
      <c r="P42" s="209">
        <f>'9 KASSABUDJETTI'!R78</f>
        <v>0</v>
      </c>
      <c r="Q42" s="152">
        <f>SUM(E42:P42)</f>
        <v>0</v>
      </c>
    </row>
    <row r="43" spans="2:17" x14ac:dyDescent="0.35">
      <c r="B43" s="368"/>
      <c r="C43" s="53" t="s">
        <v>740</v>
      </c>
      <c r="D43" s="142"/>
      <c r="E43" s="151">
        <f>E42-E42/(1+$D42)</f>
        <v>0</v>
      </c>
      <c r="F43" s="151">
        <f t="shared" ref="F43:P43" si="20">F42-F42/(1+$D42)</f>
        <v>0</v>
      </c>
      <c r="G43" s="151">
        <f t="shared" si="20"/>
        <v>0</v>
      </c>
      <c r="H43" s="151">
        <f t="shared" si="20"/>
        <v>0</v>
      </c>
      <c r="I43" s="151">
        <f t="shared" si="20"/>
        <v>0</v>
      </c>
      <c r="J43" s="151">
        <f t="shared" si="20"/>
        <v>0</v>
      </c>
      <c r="K43" s="151">
        <f t="shared" si="20"/>
        <v>0</v>
      </c>
      <c r="L43" s="151">
        <f t="shared" si="20"/>
        <v>0</v>
      </c>
      <c r="M43" s="151">
        <f t="shared" si="20"/>
        <v>0</v>
      </c>
      <c r="N43" s="151">
        <f t="shared" si="20"/>
        <v>0</v>
      </c>
      <c r="O43" s="151">
        <f t="shared" si="20"/>
        <v>0</v>
      </c>
      <c r="P43" s="151">
        <f t="shared" si="20"/>
        <v>0</v>
      </c>
      <c r="Q43" s="162">
        <f t="shared" ref="Q43:Q57" si="21">SUM(E43:P43)</f>
        <v>0</v>
      </c>
    </row>
    <row r="44" spans="2:17" x14ac:dyDescent="0.35">
      <c r="B44" s="368" t="str">
        <f>'9 KASSABUDJETTI'!C80</f>
        <v>7.a</v>
      </c>
      <c r="C44" s="53" t="str">
        <f>'9 KASSABUDJETTI'!D80</f>
        <v>Liiketoimintakaupan tavaravarasto, alkuvarasto</v>
      </c>
      <c r="D44" s="378">
        <f>'9 KASSABUDJETTI'!F80</f>
        <v>0</v>
      </c>
      <c r="E44" s="151">
        <f>'9 KASSABUDJETTI'!G80</f>
        <v>0</v>
      </c>
      <c r="F44" s="151">
        <f>'9 KASSABUDJETTI'!H80</f>
        <v>0</v>
      </c>
      <c r="G44" s="151">
        <f>'9 KASSABUDJETTI'!I80</f>
        <v>0</v>
      </c>
      <c r="H44" s="151">
        <f>'9 KASSABUDJETTI'!J80</f>
        <v>0</v>
      </c>
      <c r="I44" s="151">
        <f>'9 KASSABUDJETTI'!K80</f>
        <v>0</v>
      </c>
      <c r="J44" s="151">
        <f>'9 KASSABUDJETTI'!L80</f>
        <v>0</v>
      </c>
      <c r="K44" s="151">
        <f>'9 KASSABUDJETTI'!M80</f>
        <v>0</v>
      </c>
      <c r="L44" s="151">
        <f>'9 KASSABUDJETTI'!N80</f>
        <v>0</v>
      </c>
      <c r="M44" s="151">
        <f>'9 KASSABUDJETTI'!O80</f>
        <v>0</v>
      </c>
      <c r="N44" s="151">
        <f>'9 KASSABUDJETTI'!P80</f>
        <v>0</v>
      </c>
      <c r="O44" s="151">
        <f>'9 KASSABUDJETTI'!Q80</f>
        <v>0</v>
      </c>
      <c r="P44" s="151">
        <f>'9 KASSABUDJETTI'!R80</f>
        <v>0</v>
      </c>
      <c r="Q44" s="162">
        <f t="shared" si="21"/>
        <v>0</v>
      </c>
    </row>
    <row r="45" spans="2:17" x14ac:dyDescent="0.35">
      <c r="B45" s="368"/>
      <c r="C45" s="53" t="s">
        <v>740</v>
      </c>
      <c r="D45" s="371"/>
      <c r="E45" s="151">
        <f>E44-E44/(1+$D44)</f>
        <v>0</v>
      </c>
      <c r="F45" s="151">
        <f t="shared" ref="F45:P45" si="22">F44-F44/(1+$D44)</f>
        <v>0</v>
      </c>
      <c r="G45" s="151">
        <f t="shared" si="22"/>
        <v>0</v>
      </c>
      <c r="H45" s="151">
        <f t="shared" si="22"/>
        <v>0</v>
      </c>
      <c r="I45" s="151">
        <f t="shared" si="22"/>
        <v>0</v>
      </c>
      <c r="J45" s="151">
        <f t="shared" si="22"/>
        <v>0</v>
      </c>
      <c r="K45" s="151">
        <f t="shared" si="22"/>
        <v>0</v>
      </c>
      <c r="L45" s="151">
        <f t="shared" si="22"/>
        <v>0</v>
      </c>
      <c r="M45" s="151">
        <f t="shared" si="22"/>
        <v>0</v>
      </c>
      <c r="N45" s="151">
        <f t="shared" si="22"/>
        <v>0</v>
      </c>
      <c r="O45" s="151">
        <f t="shared" si="22"/>
        <v>0</v>
      </c>
      <c r="P45" s="151">
        <f t="shared" si="22"/>
        <v>0</v>
      </c>
      <c r="Q45" s="162">
        <f t="shared" si="21"/>
        <v>0</v>
      </c>
    </row>
    <row r="46" spans="2:17" x14ac:dyDescent="0.35">
      <c r="B46" s="368" t="str">
        <f>'9 KASSABUDJETTI'!C81</f>
        <v>7.b</v>
      </c>
      <c r="C46" s="53" t="str">
        <f>'9 KASSABUDJETTI'!D81</f>
        <v>Ulkopuoliset palvelut</v>
      </c>
      <c r="D46" s="294">
        <f>'9 KASSABUDJETTI'!F81</f>
        <v>0.255</v>
      </c>
      <c r="E46" s="151">
        <f>'9 KASSABUDJETTI'!G81</f>
        <v>0</v>
      </c>
      <c r="F46" s="151">
        <f>'9 KASSABUDJETTI'!H81</f>
        <v>0</v>
      </c>
      <c r="G46" s="151">
        <f>'9 KASSABUDJETTI'!I81</f>
        <v>0</v>
      </c>
      <c r="H46" s="151">
        <f>'9 KASSABUDJETTI'!J81</f>
        <v>0</v>
      </c>
      <c r="I46" s="151">
        <f>'9 KASSABUDJETTI'!K81</f>
        <v>0</v>
      </c>
      <c r="J46" s="151">
        <f>'9 KASSABUDJETTI'!L81</f>
        <v>0</v>
      </c>
      <c r="K46" s="151">
        <f>'9 KASSABUDJETTI'!M81</f>
        <v>0</v>
      </c>
      <c r="L46" s="151">
        <f>'9 KASSABUDJETTI'!N81</f>
        <v>0</v>
      </c>
      <c r="M46" s="151">
        <f>'9 KASSABUDJETTI'!O81</f>
        <v>0</v>
      </c>
      <c r="N46" s="151">
        <f>'9 KASSABUDJETTI'!P81</f>
        <v>0</v>
      </c>
      <c r="O46" s="151">
        <f>'9 KASSABUDJETTI'!Q81</f>
        <v>0</v>
      </c>
      <c r="P46" s="151">
        <f>'9 KASSABUDJETTI'!R81</f>
        <v>0</v>
      </c>
      <c r="Q46" s="162">
        <f t="shared" si="21"/>
        <v>0</v>
      </c>
    </row>
    <row r="47" spans="2:17" x14ac:dyDescent="0.35">
      <c r="B47" s="368"/>
      <c r="C47" s="53" t="s">
        <v>740</v>
      </c>
      <c r="D47" s="142"/>
      <c r="E47" s="151">
        <f>E46-E46/(1+$D46)</f>
        <v>0</v>
      </c>
      <c r="F47" s="151">
        <f t="shared" ref="F47:P47" si="23">F46-F46/(1+$D46)</f>
        <v>0</v>
      </c>
      <c r="G47" s="151">
        <f t="shared" si="23"/>
        <v>0</v>
      </c>
      <c r="H47" s="151">
        <f t="shared" si="23"/>
        <v>0</v>
      </c>
      <c r="I47" s="151">
        <f t="shared" si="23"/>
        <v>0</v>
      </c>
      <c r="J47" s="151">
        <f t="shared" si="23"/>
        <v>0</v>
      </c>
      <c r="K47" s="151">
        <f t="shared" si="23"/>
        <v>0</v>
      </c>
      <c r="L47" s="151">
        <f t="shared" si="23"/>
        <v>0</v>
      </c>
      <c r="M47" s="151">
        <f t="shared" si="23"/>
        <v>0</v>
      </c>
      <c r="N47" s="151">
        <f t="shared" si="23"/>
        <v>0</v>
      </c>
      <c r="O47" s="151">
        <f t="shared" si="23"/>
        <v>0</v>
      </c>
      <c r="P47" s="151">
        <f t="shared" si="23"/>
        <v>0</v>
      </c>
      <c r="Q47" s="162">
        <f t="shared" si="21"/>
        <v>0</v>
      </c>
    </row>
    <row r="48" spans="2:17" x14ac:dyDescent="0.35">
      <c r="B48" s="368" t="str">
        <f>'9 KASSABUDJETTI'!C82</f>
        <v>8.</v>
      </c>
      <c r="C48" s="53" t="str">
        <f>'9 KASSABUDJETTI'!D82</f>
        <v>Investoinnit (sis. alv)</v>
      </c>
      <c r="D48" s="294">
        <f>'9 KASSABUDJETTI'!F82</f>
        <v>0.255</v>
      </c>
      <c r="E48" s="151">
        <f>'9 KASSABUDJETTI'!G82</f>
        <v>0</v>
      </c>
      <c r="F48" s="151">
        <f>'9 KASSABUDJETTI'!H82</f>
        <v>0</v>
      </c>
      <c r="G48" s="151">
        <f>'9 KASSABUDJETTI'!I82</f>
        <v>0</v>
      </c>
      <c r="H48" s="151">
        <f>'9 KASSABUDJETTI'!J82</f>
        <v>0</v>
      </c>
      <c r="I48" s="151">
        <f>'9 KASSABUDJETTI'!K82</f>
        <v>0</v>
      </c>
      <c r="J48" s="151">
        <f>'9 KASSABUDJETTI'!L82</f>
        <v>0</v>
      </c>
      <c r="K48" s="151">
        <f>'9 KASSABUDJETTI'!M82</f>
        <v>0</v>
      </c>
      <c r="L48" s="151">
        <f>'9 KASSABUDJETTI'!N82</f>
        <v>0</v>
      </c>
      <c r="M48" s="151">
        <f>'9 KASSABUDJETTI'!O82</f>
        <v>0</v>
      </c>
      <c r="N48" s="151">
        <f>'9 KASSABUDJETTI'!P82</f>
        <v>0</v>
      </c>
      <c r="O48" s="151">
        <f>'9 KASSABUDJETTI'!Q82</f>
        <v>0</v>
      </c>
      <c r="P48" s="151">
        <f>'9 KASSABUDJETTI'!R82</f>
        <v>0</v>
      </c>
      <c r="Q48" s="162">
        <f t="shared" si="21"/>
        <v>0</v>
      </c>
    </row>
    <row r="49" spans="2:18" x14ac:dyDescent="0.35">
      <c r="B49" s="368"/>
      <c r="C49" s="53" t="s">
        <v>740</v>
      </c>
      <c r="D49" s="366"/>
      <c r="E49" s="151">
        <f>E48-E48/(1+$D48)</f>
        <v>0</v>
      </c>
      <c r="F49" s="151">
        <f t="shared" ref="F49:P49" si="24">F48-F48/(1+$D48)</f>
        <v>0</v>
      </c>
      <c r="G49" s="151">
        <f t="shared" si="24"/>
        <v>0</v>
      </c>
      <c r="H49" s="151">
        <f t="shared" si="24"/>
        <v>0</v>
      </c>
      <c r="I49" s="151">
        <f t="shared" si="24"/>
        <v>0</v>
      </c>
      <c r="J49" s="151">
        <f t="shared" si="24"/>
        <v>0</v>
      </c>
      <c r="K49" s="151">
        <f t="shared" si="24"/>
        <v>0</v>
      </c>
      <c r="L49" s="151">
        <f t="shared" si="24"/>
        <v>0</v>
      </c>
      <c r="M49" s="151">
        <f t="shared" si="24"/>
        <v>0</v>
      </c>
      <c r="N49" s="151">
        <f t="shared" si="24"/>
        <v>0</v>
      </c>
      <c r="O49" s="151">
        <f t="shared" si="24"/>
        <v>0</v>
      </c>
      <c r="P49" s="151">
        <f t="shared" si="24"/>
        <v>0</v>
      </c>
      <c r="Q49" s="162">
        <f t="shared" si="21"/>
        <v>0</v>
      </c>
    </row>
    <row r="50" spans="2:18" x14ac:dyDescent="0.35">
      <c r="B50" s="368" t="str">
        <f>'9 KASSABUDJETTI'!C83</f>
        <v>9.</v>
      </c>
      <c r="C50" s="53" t="str">
        <f>'9 KASSABUDJETTI'!D83</f>
        <v>Vuokrat ja vastikkeet (sis. alv)</v>
      </c>
      <c r="D50" s="294">
        <f>'9 KASSABUDJETTI'!F83</f>
        <v>0.255</v>
      </c>
      <c r="E50" s="151">
        <f>'9 KASSABUDJETTI'!G83</f>
        <v>0</v>
      </c>
      <c r="F50" s="151">
        <f>'9 KASSABUDJETTI'!H83</f>
        <v>0</v>
      </c>
      <c r="G50" s="151">
        <f>'9 KASSABUDJETTI'!I83</f>
        <v>0</v>
      </c>
      <c r="H50" s="151">
        <f>'9 KASSABUDJETTI'!J83</f>
        <v>0</v>
      </c>
      <c r="I50" s="151">
        <f>'9 KASSABUDJETTI'!K83</f>
        <v>0</v>
      </c>
      <c r="J50" s="151">
        <f>'9 KASSABUDJETTI'!L83</f>
        <v>0</v>
      </c>
      <c r="K50" s="151">
        <f>'9 KASSABUDJETTI'!M83</f>
        <v>0</v>
      </c>
      <c r="L50" s="151">
        <f>'9 KASSABUDJETTI'!N83</f>
        <v>0</v>
      </c>
      <c r="M50" s="151">
        <f>'9 KASSABUDJETTI'!O83</f>
        <v>0</v>
      </c>
      <c r="N50" s="151">
        <f>'9 KASSABUDJETTI'!P83</f>
        <v>0</v>
      </c>
      <c r="O50" s="151">
        <f>'9 KASSABUDJETTI'!Q83</f>
        <v>0</v>
      </c>
      <c r="P50" s="151">
        <f>'9 KASSABUDJETTI'!R83</f>
        <v>0</v>
      </c>
      <c r="Q50" s="162">
        <f t="shared" si="21"/>
        <v>0</v>
      </c>
    </row>
    <row r="51" spans="2:18" x14ac:dyDescent="0.35">
      <c r="B51" s="368"/>
      <c r="C51" s="53" t="s">
        <v>740</v>
      </c>
      <c r="D51" s="142"/>
      <c r="E51" s="151">
        <f>E50-E50/(1+$D50)</f>
        <v>0</v>
      </c>
      <c r="F51" s="151">
        <f t="shared" ref="F51:P51" si="25">F50-F50/(1+$D50)</f>
        <v>0</v>
      </c>
      <c r="G51" s="151">
        <f t="shared" si="25"/>
        <v>0</v>
      </c>
      <c r="H51" s="151">
        <f t="shared" si="25"/>
        <v>0</v>
      </c>
      <c r="I51" s="151">
        <f t="shared" si="25"/>
        <v>0</v>
      </c>
      <c r="J51" s="151">
        <f t="shared" si="25"/>
        <v>0</v>
      </c>
      <c r="K51" s="151">
        <f t="shared" si="25"/>
        <v>0</v>
      </c>
      <c r="L51" s="151">
        <f t="shared" si="25"/>
        <v>0</v>
      </c>
      <c r="M51" s="151">
        <f t="shared" si="25"/>
        <v>0</v>
      </c>
      <c r="N51" s="151">
        <f t="shared" si="25"/>
        <v>0</v>
      </c>
      <c r="O51" s="151">
        <f t="shared" si="25"/>
        <v>0</v>
      </c>
      <c r="P51" s="151">
        <f t="shared" si="25"/>
        <v>0</v>
      </c>
      <c r="Q51" s="162">
        <f t="shared" si="21"/>
        <v>0</v>
      </c>
    </row>
    <row r="52" spans="2:18" x14ac:dyDescent="0.35">
      <c r="B52" s="368" t="str">
        <f>'9 KASSABUDJETTI'!C84</f>
        <v>10.</v>
      </c>
      <c r="C52" s="53" t="str">
        <f>'9 KASSABUDJETTI'!D84</f>
        <v>Ajoneuvojen leasing- ja vuokrakulut, liikekäyttö</v>
      </c>
      <c r="D52" s="294">
        <f>'9 KASSABUDJETTI'!F84</f>
        <v>0.255</v>
      </c>
      <c r="E52" s="151">
        <f>'9 KASSABUDJETTI'!G84</f>
        <v>0</v>
      </c>
      <c r="F52" s="151">
        <f>'9 KASSABUDJETTI'!H84</f>
        <v>0</v>
      </c>
      <c r="G52" s="151">
        <f>'9 KASSABUDJETTI'!I84</f>
        <v>0</v>
      </c>
      <c r="H52" s="151">
        <f>'9 KASSABUDJETTI'!J84</f>
        <v>0</v>
      </c>
      <c r="I52" s="151">
        <f>'9 KASSABUDJETTI'!K84</f>
        <v>0</v>
      </c>
      <c r="J52" s="151">
        <f>'9 KASSABUDJETTI'!L84</f>
        <v>0</v>
      </c>
      <c r="K52" s="151">
        <f>'9 KASSABUDJETTI'!M84</f>
        <v>0</v>
      </c>
      <c r="L52" s="151">
        <f>'9 KASSABUDJETTI'!N84</f>
        <v>0</v>
      </c>
      <c r="M52" s="151">
        <f>'9 KASSABUDJETTI'!O84</f>
        <v>0</v>
      </c>
      <c r="N52" s="151">
        <f>'9 KASSABUDJETTI'!P84</f>
        <v>0</v>
      </c>
      <c r="O52" s="151">
        <f>'9 KASSABUDJETTI'!Q84</f>
        <v>0</v>
      </c>
      <c r="P52" s="151">
        <f>'9 KASSABUDJETTI'!R84</f>
        <v>0</v>
      </c>
      <c r="Q52" s="162">
        <f t="shared" si="21"/>
        <v>0</v>
      </c>
    </row>
    <row r="53" spans="2:18" x14ac:dyDescent="0.35">
      <c r="B53" s="368"/>
      <c r="C53" s="53" t="s">
        <v>740</v>
      </c>
      <c r="D53" s="366"/>
      <c r="E53" s="151">
        <f>E52-E52/(1+$D52)</f>
        <v>0</v>
      </c>
      <c r="F53" s="151">
        <f t="shared" ref="F53:P53" si="26">F52-F52/(1+$D52)</f>
        <v>0</v>
      </c>
      <c r="G53" s="151">
        <f t="shared" si="26"/>
        <v>0</v>
      </c>
      <c r="H53" s="151">
        <f t="shared" si="26"/>
        <v>0</v>
      </c>
      <c r="I53" s="151">
        <f t="shared" si="26"/>
        <v>0</v>
      </c>
      <c r="J53" s="151">
        <f t="shared" si="26"/>
        <v>0</v>
      </c>
      <c r="K53" s="151">
        <f t="shared" si="26"/>
        <v>0</v>
      </c>
      <c r="L53" s="151">
        <f t="shared" si="26"/>
        <v>0</v>
      </c>
      <c r="M53" s="151">
        <f t="shared" si="26"/>
        <v>0</v>
      </c>
      <c r="N53" s="151">
        <f t="shared" si="26"/>
        <v>0</v>
      </c>
      <c r="O53" s="151">
        <f t="shared" si="26"/>
        <v>0</v>
      </c>
      <c r="P53" s="151">
        <f t="shared" si="26"/>
        <v>0</v>
      </c>
      <c r="Q53" s="162">
        <f t="shared" si="21"/>
        <v>0</v>
      </c>
    </row>
    <row r="54" spans="2:18" x14ac:dyDescent="0.35">
      <c r="B54" s="368" t="str">
        <f>'9 KASSABUDJETTI'!C85</f>
        <v>11.</v>
      </c>
      <c r="C54" s="53" t="str">
        <f>'9 KASSABUDJETTI'!D85</f>
        <v>Muut kiinteät kulut (sis. alv)</v>
      </c>
      <c r="D54" s="294">
        <f>'9 KASSABUDJETTI'!F85</f>
        <v>0</v>
      </c>
      <c r="E54" s="151">
        <f>'9 KASSABUDJETTI'!G85</f>
        <v>0</v>
      </c>
      <c r="F54" s="151">
        <f>'9 KASSABUDJETTI'!H85</f>
        <v>0</v>
      </c>
      <c r="G54" s="151">
        <f>'9 KASSABUDJETTI'!I85</f>
        <v>0</v>
      </c>
      <c r="H54" s="151">
        <f>'9 KASSABUDJETTI'!J85</f>
        <v>0</v>
      </c>
      <c r="I54" s="151">
        <f>'9 KASSABUDJETTI'!K85</f>
        <v>0</v>
      </c>
      <c r="J54" s="151">
        <f>'9 KASSABUDJETTI'!L85</f>
        <v>0</v>
      </c>
      <c r="K54" s="151">
        <f>'9 KASSABUDJETTI'!M85</f>
        <v>0</v>
      </c>
      <c r="L54" s="151">
        <f>'9 KASSABUDJETTI'!N85</f>
        <v>0</v>
      </c>
      <c r="M54" s="151">
        <f>'9 KASSABUDJETTI'!O85</f>
        <v>0</v>
      </c>
      <c r="N54" s="151">
        <f>'9 KASSABUDJETTI'!P85</f>
        <v>0</v>
      </c>
      <c r="O54" s="151">
        <f>'9 KASSABUDJETTI'!Q85</f>
        <v>0</v>
      </c>
      <c r="P54" s="151">
        <f>'9 KASSABUDJETTI'!R85</f>
        <v>0</v>
      </c>
      <c r="Q54" s="162">
        <f t="shared" si="21"/>
        <v>0</v>
      </c>
    </row>
    <row r="55" spans="2:18" ht="15" thickBot="1" x14ac:dyDescent="0.4">
      <c r="B55" s="370"/>
      <c r="C55" s="103" t="s">
        <v>740</v>
      </c>
      <c r="D55" s="372"/>
      <c r="E55" s="153">
        <f>E54-E54/(1+$D54)</f>
        <v>0</v>
      </c>
      <c r="F55" s="153">
        <f t="shared" ref="F55:P55" si="27">F54-F54/(1+$D54)</f>
        <v>0</v>
      </c>
      <c r="G55" s="153">
        <f t="shared" si="27"/>
        <v>0</v>
      </c>
      <c r="H55" s="153">
        <f t="shared" si="27"/>
        <v>0</v>
      </c>
      <c r="I55" s="153">
        <f>I54-I54/(1+$D54)</f>
        <v>0</v>
      </c>
      <c r="J55" s="153">
        <f t="shared" si="27"/>
        <v>0</v>
      </c>
      <c r="K55" s="153">
        <f t="shared" si="27"/>
        <v>0</v>
      </c>
      <c r="L55" s="153">
        <f t="shared" si="27"/>
        <v>0</v>
      </c>
      <c r="M55" s="153">
        <f t="shared" si="27"/>
        <v>0</v>
      </c>
      <c r="N55" s="153">
        <f t="shared" si="27"/>
        <v>0</v>
      </c>
      <c r="O55" s="153">
        <f t="shared" si="27"/>
        <v>0</v>
      </c>
      <c r="P55" s="153">
        <f t="shared" si="27"/>
        <v>0</v>
      </c>
      <c r="Q55" s="295">
        <f t="shared" si="21"/>
        <v>0</v>
      </c>
    </row>
    <row r="56" spans="2:18" ht="15.5" thickTop="1" thickBot="1" x14ac:dyDescent="0.4">
      <c r="B56" s="373"/>
      <c r="C56" s="374" t="s">
        <v>743</v>
      </c>
      <c r="D56" s="375"/>
      <c r="E56" s="376">
        <f>E43+E45+E47+E49+E51+E53+E55</f>
        <v>0</v>
      </c>
      <c r="F56" s="376">
        <f t="shared" ref="F56:P56" si="28">F43+F45+F47+F49+F51+F53+F55</f>
        <v>0</v>
      </c>
      <c r="G56" s="376">
        <f t="shared" si="28"/>
        <v>0</v>
      </c>
      <c r="H56" s="376">
        <f t="shared" si="28"/>
        <v>0</v>
      </c>
      <c r="I56" s="376">
        <f t="shared" si="28"/>
        <v>0</v>
      </c>
      <c r="J56" s="376">
        <f t="shared" si="28"/>
        <v>0</v>
      </c>
      <c r="K56" s="376">
        <f t="shared" si="28"/>
        <v>0</v>
      </c>
      <c r="L56" s="376">
        <f t="shared" si="28"/>
        <v>0</v>
      </c>
      <c r="M56" s="376">
        <f t="shared" si="28"/>
        <v>0</v>
      </c>
      <c r="N56" s="376">
        <f t="shared" si="28"/>
        <v>0</v>
      </c>
      <c r="O56" s="376">
        <f t="shared" si="28"/>
        <v>0</v>
      </c>
      <c r="P56" s="376">
        <f t="shared" si="28"/>
        <v>0</v>
      </c>
      <c r="Q56" s="376">
        <f t="shared" si="21"/>
        <v>0</v>
      </c>
    </row>
    <row r="57" spans="2:18" ht="15.5" thickTop="1" thickBot="1" x14ac:dyDescent="0.4">
      <c r="B57" s="485"/>
      <c r="C57" s="486" t="s">
        <v>744</v>
      </c>
      <c r="D57" s="487"/>
      <c r="E57" s="488">
        <f>E41-E56</f>
        <v>0</v>
      </c>
      <c r="F57" s="488">
        <f t="shared" ref="F57:P57" si="29">F41-F56</f>
        <v>0</v>
      </c>
      <c r="G57" s="488">
        <f t="shared" si="29"/>
        <v>0</v>
      </c>
      <c r="H57" s="488">
        <f t="shared" si="29"/>
        <v>0</v>
      </c>
      <c r="I57" s="488">
        <f t="shared" si="29"/>
        <v>0</v>
      </c>
      <c r="J57" s="488">
        <f t="shared" si="29"/>
        <v>0</v>
      </c>
      <c r="K57" s="488">
        <f t="shared" si="29"/>
        <v>0</v>
      </c>
      <c r="L57" s="488">
        <f t="shared" si="29"/>
        <v>0</v>
      </c>
      <c r="M57" s="488">
        <f t="shared" si="29"/>
        <v>0</v>
      </c>
      <c r="N57" s="488">
        <f t="shared" si="29"/>
        <v>0</v>
      </c>
      <c r="O57" s="488">
        <f t="shared" si="29"/>
        <v>0</v>
      </c>
      <c r="P57" s="488">
        <f t="shared" si="29"/>
        <v>0</v>
      </c>
      <c r="Q57" s="488">
        <f t="shared" si="21"/>
        <v>0</v>
      </c>
    </row>
    <row r="58" spans="2:18" ht="15" thickTop="1" x14ac:dyDescent="0.35"/>
    <row r="59" spans="2:18" x14ac:dyDescent="0.35">
      <c r="B59" s="5" t="str">
        <f>'9 KASSABUDJETTI'!C94</f>
        <v>20.</v>
      </c>
      <c r="C59" s="5" t="str">
        <f>'9 KASSABUDJETTI'!D94</f>
        <v>Rahoitusmenot (lainojen korkokustannukset)</v>
      </c>
      <c r="D59" s="379">
        <f>'9 KASSABUDJETTI'!F94</f>
        <v>0</v>
      </c>
      <c r="E59" s="129">
        <f>'9 KASSABUDJETTI'!G94</f>
        <v>0</v>
      </c>
      <c r="F59" s="129">
        <f>'9 KASSABUDJETTI'!H94</f>
        <v>0</v>
      </c>
      <c r="G59" s="129">
        <f>'9 KASSABUDJETTI'!I94</f>
        <v>0</v>
      </c>
      <c r="H59" s="129">
        <f>'9 KASSABUDJETTI'!J94</f>
        <v>0</v>
      </c>
      <c r="I59" s="129">
        <f>'9 KASSABUDJETTI'!K94</f>
        <v>0</v>
      </c>
      <c r="J59" s="129">
        <f>'9 KASSABUDJETTI'!L94</f>
        <v>0</v>
      </c>
      <c r="K59" s="129">
        <f>'9 KASSABUDJETTI'!M94</f>
        <v>0</v>
      </c>
      <c r="L59" s="129">
        <f>'9 KASSABUDJETTI'!N94</f>
        <v>0</v>
      </c>
      <c r="M59" s="129">
        <f>'9 KASSABUDJETTI'!O94</f>
        <v>0</v>
      </c>
      <c r="N59" s="129">
        <f>'9 KASSABUDJETTI'!P94</f>
        <v>0</v>
      </c>
      <c r="O59" s="129">
        <f>'9 KASSABUDJETTI'!Q94</f>
        <v>0</v>
      </c>
      <c r="P59" s="129">
        <f>'9 KASSABUDJETTI'!R94</f>
        <v>0</v>
      </c>
      <c r="Q59" s="381">
        <f>SUM(E59:P59)</f>
        <v>0</v>
      </c>
      <c r="R59" s="381">
        <f>'9 KASSABUDJETTI'!R94</f>
        <v>0</v>
      </c>
    </row>
  </sheetData>
  <pageMargins left="0.7" right="0.7" top="0.75" bottom="0.75" header="0.3" footer="0.3"/>
  <ignoredErrors>
    <ignoredError sqref="E8 F8:Q9 E10:Q11 E15:Q15 E16:P18 E19:P21 E23:P26 E22:F22 H22:P22 E37:Q41 Q42 Q43 Q45 Q44 E45:P45 E44:P44 Q47 Q46 E47:P47 E46:P46 Q49 Q48 E49:P49 E48:P48 Q51 Q50 E51:P51 E50:P50 Q53 Q52 F53:P53 E52:P52 Q55 Q54 E57:Q57 F55:H55 E54:P54 J55:P55 F56:Q56 Q30 Q5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AB0FA-FC0B-49C6-864C-08F3F500F244}">
  <dimension ref="C2:AX79"/>
  <sheetViews>
    <sheetView workbookViewId="0">
      <selection activeCell="J8" sqref="J8"/>
    </sheetView>
  </sheetViews>
  <sheetFormatPr defaultColWidth="9.1796875" defaultRowHeight="12" x14ac:dyDescent="0.3"/>
  <cols>
    <col min="1" max="1" width="2.7265625" style="575" customWidth="1"/>
    <col min="2" max="2" width="10.7265625" style="575" customWidth="1"/>
    <col min="3" max="3" width="2.7265625" style="575" customWidth="1"/>
    <col min="4" max="4" width="42.81640625" style="575" bestFit="1" customWidth="1"/>
    <col min="5" max="16" width="7.7265625" style="575" customWidth="1"/>
    <col min="17" max="17" width="4.7265625" style="575" customWidth="1"/>
    <col min="18" max="18" width="2.7265625" style="575" customWidth="1"/>
    <col min="19" max="19" width="37" style="575" bestFit="1" customWidth="1"/>
    <col min="20" max="25" width="7.7265625" style="575" customWidth="1"/>
    <col min="26" max="26" width="4.7265625" style="575" customWidth="1"/>
    <col min="27" max="27" width="41.7265625" style="575" bestFit="1" customWidth="1"/>
    <col min="28" max="30" width="7.7265625" style="575" customWidth="1"/>
    <col min="31" max="42" width="4.26953125" style="575" customWidth="1"/>
    <col min="43" max="43" width="4.7265625" style="575" customWidth="1"/>
    <col min="44" max="44" width="32.54296875" style="575" bestFit="1" customWidth="1"/>
    <col min="45" max="50" width="9.7265625" style="575" customWidth="1"/>
    <col min="51" max="52" width="7.7265625" style="575" customWidth="1"/>
    <col min="53" max="16384" width="9.1796875" style="575"/>
  </cols>
  <sheetData>
    <row r="2" spans="3:50" ht="21" x14ac:dyDescent="0.5">
      <c r="C2" s="16" t="s">
        <v>961</v>
      </c>
    </row>
    <row r="4" spans="3:50" ht="14.5" x14ac:dyDescent="0.35">
      <c r="C4" s="14" t="s">
        <v>805</v>
      </c>
      <c r="R4" s="14" t="s">
        <v>806</v>
      </c>
      <c r="AA4" s="14" t="s">
        <v>850</v>
      </c>
      <c r="AR4" s="14" t="s">
        <v>863</v>
      </c>
    </row>
    <row r="6" spans="3:50" ht="15" customHeight="1" x14ac:dyDescent="0.3">
      <c r="C6" s="591"/>
      <c r="D6" s="592"/>
      <c r="E6" s="602" t="str">
        <f>'1 INVESTOINTISUUNNITELMA'!E15</f>
        <v>Ennuste 1</v>
      </c>
      <c r="F6" s="603" t="str">
        <f>'1 INVESTOINTISUUNNITELMA'!F15</f>
        <v>Ennuste 2</v>
      </c>
      <c r="G6" s="603" t="str">
        <f>'1 INVESTOINTISUUNNITELMA'!G15</f>
        <v>Ennuste 3</v>
      </c>
      <c r="H6" s="603" t="str">
        <f>'1 INVESTOINTISUUNNITELMA'!H15</f>
        <v>Ennuste 4</v>
      </c>
      <c r="I6" s="592"/>
      <c r="J6" s="1135" t="s">
        <v>799</v>
      </c>
      <c r="K6" s="1136"/>
      <c r="L6" s="1136"/>
      <c r="M6" s="1136"/>
      <c r="N6" s="1136"/>
      <c r="O6" s="1136"/>
      <c r="P6" s="1137"/>
      <c r="R6" s="591"/>
      <c r="S6" s="592"/>
      <c r="T6" s="828" t="str">
        <f>'3 TASE'!G7</f>
        <v>Toteuma</v>
      </c>
      <c r="U6" s="828" t="str">
        <f>'3 TASE'!H7</f>
        <v>Toteuma</v>
      </c>
      <c r="V6" s="610" t="str">
        <f>'3 TASE'!I7</f>
        <v>Ennuste 1</v>
      </c>
      <c r="W6" s="610" t="str">
        <f>'3 TASE'!J7</f>
        <v>Ennuste 2</v>
      </c>
      <c r="X6" s="610" t="str">
        <f>'3 TASE'!K7</f>
        <v>Ennuste 3</v>
      </c>
      <c r="Y6" s="610" t="str">
        <f>'3 TASE'!L7</f>
        <v>Ennuste 4</v>
      </c>
      <c r="AA6" s="613"/>
      <c r="AB6" s="622"/>
      <c r="AC6" s="622"/>
      <c r="AD6" s="614"/>
      <c r="AE6" s="1133" t="str">
        <f>'8 RAHOITUSSUUNNITELMA'!F41</f>
        <v>Toteuma</v>
      </c>
      <c r="AF6" s="1134"/>
      <c r="AG6" s="1133" t="str">
        <f>'8 RAHOITUSSUUNNITELMA'!G41</f>
        <v>Toteuma</v>
      </c>
      <c r="AH6" s="1134"/>
      <c r="AI6" s="1118" t="str">
        <f>'8 RAHOITUSSUUNNITELMA'!H41</f>
        <v>Ennuste 1</v>
      </c>
      <c r="AJ6" s="1120"/>
      <c r="AK6" s="1118" t="str">
        <f>'8 RAHOITUSSUUNNITELMA'!I41</f>
        <v>Ennuste 2</v>
      </c>
      <c r="AL6" s="1120"/>
      <c r="AM6" s="1118" t="str">
        <f>'8 RAHOITUSSUUNNITELMA'!J41</f>
        <v>Ennuste 3</v>
      </c>
      <c r="AN6" s="1120"/>
      <c r="AO6" s="1118" t="str">
        <f>'8 RAHOITUSSUUNNITELMA'!K41</f>
        <v>Ennuste 4</v>
      </c>
      <c r="AP6" s="1120"/>
      <c r="AR6" s="597"/>
      <c r="AS6" s="828" t="str">
        <f>'8 RAHOITUSSUUNNITELMA'!N7</f>
        <v>Toteuma</v>
      </c>
      <c r="AT6" s="828" t="str">
        <f>'8 RAHOITUSSUUNNITELMA'!O7</f>
        <v>Toteuma</v>
      </c>
      <c r="AU6" s="610" t="str">
        <f>'8 RAHOITUSSUUNNITELMA'!P7</f>
        <v>Ennuste 1</v>
      </c>
      <c r="AV6" s="610" t="str">
        <f>'8 RAHOITUSSUUNNITELMA'!Q7</f>
        <v>Ennuste 2</v>
      </c>
      <c r="AW6" s="610" t="str">
        <f>'8 RAHOITUSSUUNNITELMA'!R7</f>
        <v>Ennuste 3</v>
      </c>
      <c r="AX6" s="610" t="str">
        <f>'8 RAHOITUSSUUNNITELMA'!S7</f>
        <v>Ennuste 4</v>
      </c>
    </row>
    <row r="7" spans="3:50" x14ac:dyDescent="0.3">
      <c r="C7" s="593" t="s">
        <v>793</v>
      </c>
      <c r="D7" s="594"/>
      <c r="E7" s="593">
        <f>'1 INVESTOINTISUUNNITELMA'!E16</f>
        <v>2026</v>
      </c>
      <c r="F7" s="595">
        <f>'1 INVESTOINTISUUNNITELMA'!F16</f>
        <v>2027</v>
      </c>
      <c r="G7" s="595">
        <f>'1 INVESTOINTISUUNNITELMA'!G16</f>
        <v>2028</v>
      </c>
      <c r="H7" s="595">
        <f>'1 INVESTOINTISUUNNITELMA'!H16</f>
        <v>2029</v>
      </c>
      <c r="I7" s="596" t="s">
        <v>794</v>
      </c>
      <c r="J7" s="1138"/>
      <c r="K7" s="1139"/>
      <c r="L7" s="1139"/>
      <c r="M7" s="1139"/>
      <c r="N7" s="1139"/>
      <c r="O7" s="1139"/>
      <c r="P7" s="1140"/>
      <c r="R7" s="593" t="s">
        <v>804</v>
      </c>
      <c r="S7" s="594"/>
      <c r="T7" s="598">
        <f>'3 TASE'!G8</f>
        <v>2024</v>
      </c>
      <c r="U7" s="598">
        <f>'3 TASE'!H8</f>
        <v>2025</v>
      </c>
      <c r="V7" s="598">
        <f>'3 TASE'!I8</f>
        <v>2026</v>
      </c>
      <c r="W7" s="598">
        <f>'3 TASE'!J8</f>
        <v>2027</v>
      </c>
      <c r="X7" s="598">
        <f>'3 TASE'!K8</f>
        <v>2028</v>
      </c>
      <c r="Y7" s="598">
        <f>'3 TASE'!L8</f>
        <v>2029</v>
      </c>
      <c r="AA7" s="593" t="s">
        <v>841</v>
      </c>
      <c r="AB7" s="623"/>
      <c r="AC7" s="623"/>
      <c r="AD7" s="615"/>
      <c r="AE7" s="1121">
        <f>'8 RAHOITUSSUUNNITELMA'!F42</f>
        <v>2024</v>
      </c>
      <c r="AF7" s="1123"/>
      <c r="AG7" s="1121">
        <f>'8 RAHOITUSSUUNNITELMA'!G42</f>
        <v>2025</v>
      </c>
      <c r="AH7" s="1123"/>
      <c r="AI7" s="1121">
        <f>'8 RAHOITUSSUUNNITELMA'!H42</f>
        <v>2026</v>
      </c>
      <c r="AJ7" s="1123"/>
      <c r="AK7" s="1121">
        <f>'8 RAHOITUSSUUNNITELMA'!I42</f>
        <v>2027</v>
      </c>
      <c r="AL7" s="1123"/>
      <c r="AM7" s="1121">
        <f>'8 RAHOITUSSUUNNITELMA'!J42</f>
        <v>2028</v>
      </c>
      <c r="AN7" s="1123"/>
      <c r="AO7" s="1121">
        <f>'8 RAHOITUSSUUNNITELMA'!K42</f>
        <v>2029</v>
      </c>
      <c r="AP7" s="1123"/>
      <c r="AR7" s="595" t="s">
        <v>864</v>
      </c>
      <c r="AS7" s="598">
        <f>'8 RAHOITUSSUUNNITELMA'!N8</f>
        <v>2024</v>
      </c>
      <c r="AT7" s="598">
        <f>'8 RAHOITUSSUUNNITELMA'!O8</f>
        <v>2025</v>
      </c>
      <c r="AU7" s="598">
        <f>'8 RAHOITUSSUUNNITELMA'!P8</f>
        <v>2026</v>
      </c>
      <c r="AV7" s="598">
        <f>'8 RAHOITUSSUUNNITELMA'!Q8</f>
        <v>2027</v>
      </c>
      <c r="AW7" s="598">
        <f>'8 RAHOITUSSUUNNITELMA'!R8</f>
        <v>2028</v>
      </c>
      <c r="AX7" s="598">
        <f>'8 RAHOITUSSUUNNITELMA'!S8</f>
        <v>2029</v>
      </c>
    </row>
    <row r="8" spans="3:50" ht="12" customHeight="1" x14ac:dyDescent="0.3">
      <c r="C8" s="576" t="s">
        <v>275</v>
      </c>
      <c r="D8" s="577" t="s">
        <v>414</v>
      </c>
      <c r="E8" s="578">
        <f>'1 INVESTOINTISUUNNITELMA'!E17/1000</f>
        <v>0</v>
      </c>
      <c r="F8" s="578">
        <f>'1 INVESTOINTISUUNNITELMA'!F17/1000</f>
        <v>0</v>
      </c>
      <c r="G8" s="578">
        <f>'1 INVESTOINTISUUNNITELMA'!G17/1000</f>
        <v>0</v>
      </c>
      <c r="H8" s="578">
        <f>'1 INVESTOINTISUUNNITELMA'!H17/1000</f>
        <v>0</v>
      </c>
      <c r="I8" s="581">
        <f>SUM(E8:H8)</f>
        <v>0</v>
      </c>
      <c r="J8" s="967" t="s">
        <v>840</v>
      </c>
      <c r="K8" s="968"/>
      <c r="L8" s="968"/>
      <c r="M8" s="968"/>
      <c r="N8" s="968"/>
      <c r="O8" s="968"/>
      <c r="P8" s="969"/>
      <c r="R8" s="611" t="s">
        <v>801</v>
      </c>
      <c r="S8" s="612" t="s">
        <v>800</v>
      </c>
      <c r="T8" s="581">
        <f>'3 TASE'!G10/1000</f>
        <v>0</v>
      </c>
      <c r="U8" s="581">
        <f>'3 TASE'!H10/1000</f>
        <v>0</v>
      </c>
      <c r="V8" s="581">
        <f>'3 TASE'!I10/1000</f>
        <v>0</v>
      </c>
      <c r="W8" s="581">
        <f>'3 TASE'!J10/1000</f>
        <v>0</v>
      </c>
      <c r="X8" s="581">
        <f>'3 TASE'!K10/1000</f>
        <v>0</v>
      </c>
      <c r="Y8" s="581">
        <f>'3 TASE'!L10/1000</f>
        <v>0</v>
      </c>
      <c r="AA8" s="576" t="s">
        <v>842</v>
      </c>
      <c r="AB8" s="620"/>
      <c r="AC8" s="620"/>
      <c r="AD8" s="626" t="s">
        <v>222</v>
      </c>
      <c r="AE8" s="1126">
        <f>'8 RAHOITUSSUUNNITELMA'!F44/1000</f>
        <v>0</v>
      </c>
      <c r="AF8" s="1127"/>
      <c r="AG8" s="1126">
        <f>'8 RAHOITUSSUUNNITELMA'!G44/1000</f>
        <v>0</v>
      </c>
      <c r="AH8" s="1127"/>
      <c r="AI8" s="1126">
        <f>'8 RAHOITUSSUUNNITELMA'!H44/1000</f>
        <v>0</v>
      </c>
      <c r="AJ8" s="1127"/>
      <c r="AK8" s="1126">
        <f>'8 RAHOITUSSUUNNITELMA'!I44/1000</f>
        <v>0</v>
      </c>
      <c r="AL8" s="1127"/>
      <c r="AM8" s="1126">
        <f>'8 RAHOITUSSUUNNITELMA'!J44/1000</f>
        <v>0</v>
      </c>
      <c r="AN8" s="1127"/>
      <c r="AO8" s="1126">
        <f>'8 RAHOITUSSUUNNITELMA'!K44/1000</f>
        <v>0</v>
      </c>
      <c r="AP8" s="1127"/>
      <c r="AR8" s="608" t="s">
        <v>357</v>
      </c>
    </row>
    <row r="9" spans="3:50" x14ac:dyDescent="0.3">
      <c r="C9" s="576"/>
      <c r="D9" s="577" t="s">
        <v>416</v>
      </c>
      <c r="E9" s="579">
        <f>'1 INVESTOINTISUUNNITELMA'!E19</f>
        <v>0</v>
      </c>
      <c r="F9" s="579">
        <f>'1 INVESTOINTISUUNNITELMA'!F19</f>
        <v>0</v>
      </c>
      <c r="G9" s="579">
        <f>'1 INVESTOINTISUUNNITELMA'!G19</f>
        <v>0</v>
      </c>
      <c r="H9" s="579">
        <f>'1 INVESTOINTISUUNNITELMA'!H19</f>
        <v>0</v>
      </c>
      <c r="I9" s="580"/>
      <c r="J9" s="970"/>
      <c r="K9" s="971"/>
      <c r="L9" s="971"/>
      <c r="M9" s="971"/>
      <c r="N9" s="971"/>
      <c r="O9" s="971"/>
      <c r="P9" s="972"/>
      <c r="R9" s="576"/>
      <c r="S9" s="577" t="s">
        <v>231</v>
      </c>
      <c r="T9" s="578">
        <f>'3 TASE'!G11/1000</f>
        <v>0</v>
      </c>
      <c r="U9" s="578">
        <f>'3 TASE'!H11/1000</f>
        <v>0</v>
      </c>
      <c r="V9" s="578">
        <f>'3 TASE'!I11/1000</f>
        <v>0</v>
      </c>
      <c r="W9" s="578">
        <f>'3 TASE'!J11/1000</f>
        <v>0</v>
      </c>
      <c r="X9" s="578">
        <f>'3 TASE'!K11/1000</f>
        <v>0</v>
      </c>
      <c r="Y9" s="578">
        <f>'3 TASE'!L11/1000</f>
        <v>0</v>
      </c>
      <c r="AA9" s="627" t="s">
        <v>242</v>
      </c>
      <c r="AB9" s="628"/>
      <c r="AC9" s="628"/>
      <c r="AD9" s="629" t="s">
        <v>851</v>
      </c>
      <c r="AE9" s="1129">
        <f>'8 RAHOITUSSUUNNITELMA'!F45</f>
        <v>0</v>
      </c>
      <c r="AF9" s="1130"/>
      <c r="AG9" s="1129">
        <f>'8 RAHOITUSSUUNNITELMA'!G45</f>
        <v>0</v>
      </c>
      <c r="AH9" s="1130"/>
      <c r="AI9" s="1129">
        <f>'8 RAHOITUSSUUNNITELMA'!H45</f>
        <v>0</v>
      </c>
      <c r="AJ9" s="1130"/>
      <c r="AK9" s="1129">
        <f>'8 RAHOITUSSUUNNITELMA'!I45</f>
        <v>0</v>
      </c>
      <c r="AL9" s="1130"/>
      <c r="AM9" s="1129">
        <f>'8 RAHOITUSSUUNNITELMA'!J45</f>
        <v>0</v>
      </c>
      <c r="AN9" s="1130"/>
      <c r="AO9" s="1129">
        <f>'8 RAHOITUSSUUNNITELMA'!K45</f>
        <v>0</v>
      </c>
      <c r="AP9" s="1130"/>
      <c r="AR9" s="580" t="s">
        <v>358</v>
      </c>
      <c r="AS9" s="647">
        <f>'8 RAHOITUSSUUNNITELMA'!N26</f>
        <v>0</v>
      </c>
      <c r="AT9" s="647">
        <f>'8 RAHOITUSSUUNNITELMA'!O26</f>
        <v>0</v>
      </c>
      <c r="AU9" s="647">
        <f>'8 RAHOITUSSUUNNITELMA'!P26</f>
        <v>0</v>
      </c>
      <c r="AV9" s="647">
        <f>'8 RAHOITUSSUUNNITELMA'!Q26</f>
        <v>0</v>
      </c>
      <c r="AW9" s="647">
        <f>'8 RAHOITUSSUUNNITELMA'!R26</f>
        <v>0</v>
      </c>
      <c r="AX9" s="647">
        <f>'8 RAHOITUSSUUNNITELMA'!S26</f>
        <v>0</v>
      </c>
    </row>
    <row r="10" spans="3:50" x14ac:dyDescent="0.3">
      <c r="C10" s="576" t="s">
        <v>276</v>
      </c>
      <c r="D10" s="577" t="s">
        <v>417</v>
      </c>
      <c r="E10" s="578">
        <f>'1 INVESTOINTISUUNNITELMA'!E20/1000</f>
        <v>0</v>
      </c>
      <c r="F10" s="578">
        <f>'1 INVESTOINTISUUNNITELMA'!F20/1000</f>
        <v>0</v>
      </c>
      <c r="G10" s="578">
        <f>'1 INVESTOINTISUUNNITELMA'!G20/1000</f>
        <v>0</v>
      </c>
      <c r="H10" s="578">
        <f>'1 INVESTOINTISUUNNITELMA'!H20/1000</f>
        <v>0</v>
      </c>
      <c r="I10" s="581">
        <f>SUM(E10:H10)</f>
        <v>0</v>
      </c>
      <c r="J10" s="970"/>
      <c r="K10" s="971"/>
      <c r="L10" s="971"/>
      <c r="M10" s="971"/>
      <c r="N10" s="971"/>
      <c r="O10" s="971"/>
      <c r="P10" s="972"/>
      <c r="R10" s="576"/>
      <c r="S10" s="577" t="s">
        <v>232</v>
      </c>
      <c r="T10" s="578">
        <f>'3 TASE'!G15/1000</f>
        <v>0</v>
      </c>
      <c r="U10" s="578">
        <f>'3 TASE'!H15/1000</f>
        <v>0</v>
      </c>
      <c r="V10" s="578">
        <f>'3 TASE'!I15/1000</f>
        <v>0</v>
      </c>
      <c r="W10" s="578">
        <f>'3 TASE'!J15/1000</f>
        <v>0</v>
      </c>
      <c r="X10" s="578">
        <f>'3 TASE'!K15/1000</f>
        <v>0</v>
      </c>
      <c r="Y10" s="578">
        <f>'3 TASE'!L15/1000</f>
        <v>0</v>
      </c>
      <c r="AA10" s="576" t="s">
        <v>843</v>
      </c>
      <c r="AB10" s="620"/>
      <c r="AC10" s="620"/>
      <c r="AD10" s="626" t="s">
        <v>222</v>
      </c>
      <c r="AE10" s="1126">
        <f>'8 RAHOITUSSUUNNITELMA'!F46/1000</f>
        <v>0</v>
      </c>
      <c r="AF10" s="1127"/>
      <c r="AG10" s="1126">
        <f>'8 RAHOITUSSUUNNITELMA'!G46/1000</f>
        <v>0</v>
      </c>
      <c r="AH10" s="1127"/>
      <c r="AI10" s="1126">
        <f>'8 RAHOITUSSUUNNITELMA'!H46/1000</f>
        <v>0</v>
      </c>
      <c r="AJ10" s="1127"/>
      <c r="AK10" s="1126">
        <f>'8 RAHOITUSSUUNNITELMA'!I46/1000</f>
        <v>0</v>
      </c>
      <c r="AL10" s="1127"/>
      <c r="AM10" s="1126">
        <f>'8 RAHOITUSSUUNNITELMA'!J46/1000</f>
        <v>0</v>
      </c>
      <c r="AN10" s="1127"/>
      <c r="AO10" s="1126">
        <f>'8 RAHOITUSSUUNNITELMA'!K46/1000</f>
        <v>0</v>
      </c>
      <c r="AP10" s="1127"/>
      <c r="AR10" s="646" t="s">
        <v>352</v>
      </c>
      <c r="AS10" s="648">
        <f>'8 RAHOITUSSUUNNITELMA'!N27</f>
        <v>0</v>
      </c>
      <c r="AT10" s="648">
        <f>'8 RAHOITUSSUUNNITELMA'!O27</f>
        <v>0</v>
      </c>
      <c r="AU10" s="648">
        <f>'8 RAHOITUSSUUNNITELMA'!P27</f>
        <v>0</v>
      </c>
      <c r="AV10" s="648">
        <f>'8 RAHOITUSSUUNNITELMA'!Q27</f>
        <v>0</v>
      </c>
      <c r="AW10" s="648">
        <f>'8 RAHOITUSSUUNNITELMA'!R27</f>
        <v>0</v>
      </c>
      <c r="AX10" s="648">
        <f>'8 RAHOITUSSUUNNITELMA'!S27</f>
        <v>0</v>
      </c>
    </row>
    <row r="11" spans="3:50" x14ac:dyDescent="0.3">
      <c r="C11" s="576"/>
      <c r="D11" s="577" t="s">
        <v>416</v>
      </c>
      <c r="E11" s="579">
        <f>'1 INVESTOINTISUUNNITELMA'!E23</f>
        <v>0</v>
      </c>
      <c r="F11" s="579">
        <f>'1 INVESTOINTISUUNNITELMA'!F23</f>
        <v>0</v>
      </c>
      <c r="G11" s="579">
        <f>'1 INVESTOINTISUUNNITELMA'!G23</f>
        <v>0</v>
      </c>
      <c r="H11" s="579">
        <f>'1 INVESTOINTISUUNNITELMA'!H23</f>
        <v>0</v>
      </c>
      <c r="I11" s="580"/>
      <c r="J11" s="970"/>
      <c r="K11" s="971"/>
      <c r="L11" s="971"/>
      <c r="M11" s="971"/>
      <c r="N11" s="971"/>
      <c r="O11" s="971"/>
      <c r="P11" s="972"/>
      <c r="R11" s="576"/>
      <c r="S11" s="577" t="s">
        <v>233</v>
      </c>
      <c r="T11" s="578">
        <f>'3 TASE'!G16/1000</f>
        <v>0</v>
      </c>
      <c r="U11" s="578">
        <f>'3 TASE'!H16/1000</f>
        <v>0</v>
      </c>
      <c r="V11" s="578">
        <f>'3 TASE'!I16/1000</f>
        <v>0</v>
      </c>
      <c r="W11" s="578">
        <f>'3 TASE'!J16/1000</f>
        <v>0</v>
      </c>
      <c r="X11" s="578">
        <f>'3 TASE'!K16/1000</f>
        <v>0</v>
      </c>
      <c r="Y11" s="578">
        <f>'3 TASE'!L16/1000</f>
        <v>0</v>
      </c>
      <c r="AA11" s="627" t="s">
        <v>249</v>
      </c>
      <c r="AB11" s="628"/>
      <c r="AC11" s="628"/>
      <c r="AD11" s="629" t="s">
        <v>852</v>
      </c>
      <c r="AE11" s="1131">
        <f>'8 RAHOITUSSUUNNITELMA'!F47</f>
        <v>0</v>
      </c>
      <c r="AF11" s="1132"/>
      <c r="AG11" s="1131">
        <f>'8 RAHOITUSSUUNNITELMA'!G47</f>
        <v>0</v>
      </c>
      <c r="AH11" s="1132"/>
      <c r="AI11" s="1131">
        <f>'8 RAHOITUSSUUNNITELMA'!H47</f>
        <v>0</v>
      </c>
      <c r="AJ11" s="1132"/>
      <c r="AK11" s="1131">
        <f>'8 RAHOITUSSUUNNITELMA'!I47</f>
        <v>0</v>
      </c>
      <c r="AL11" s="1132"/>
      <c r="AM11" s="1131">
        <f>'8 RAHOITUSSUUNNITELMA'!J47</f>
        <v>0</v>
      </c>
      <c r="AN11" s="1132"/>
      <c r="AO11" s="1131">
        <f>'8 RAHOITUSSUUNNITELMA'!K47</f>
        <v>0</v>
      </c>
      <c r="AP11" s="1132"/>
      <c r="AR11" s="580" t="s">
        <v>359</v>
      </c>
      <c r="AS11" s="647">
        <f>'8 RAHOITUSSUUNNITELMA'!N28</f>
        <v>0</v>
      </c>
      <c r="AT11" s="647">
        <f>'8 RAHOITUSSUUNNITELMA'!O28</f>
        <v>0</v>
      </c>
      <c r="AU11" s="647">
        <f>'8 RAHOITUSSUUNNITELMA'!P28</f>
        <v>0</v>
      </c>
      <c r="AV11" s="647">
        <f>'8 RAHOITUSSUUNNITELMA'!Q28</f>
        <v>0</v>
      </c>
      <c r="AW11" s="647">
        <f>'8 RAHOITUSSUUNNITELMA'!R28</f>
        <v>0</v>
      </c>
      <c r="AX11" s="647">
        <f>'8 RAHOITUSSUUNNITELMA'!S28</f>
        <v>0</v>
      </c>
    </row>
    <row r="12" spans="3:50" x14ac:dyDescent="0.3">
      <c r="C12" s="576" t="s">
        <v>277</v>
      </c>
      <c r="D12" s="577" t="s">
        <v>294</v>
      </c>
      <c r="E12" s="578">
        <f>'1 INVESTOINTISUUNNITELMA'!E24/1000</f>
        <v>0</v>
      </c>
      <c r="F12" s="578">
        <f>'1 INVESTOINTISUUNNITELMA'!F24/1000</f>
        <v>0</v>
      </c>
      <c r="G12" s="578">
        <f>'1 INVESTOINTISUUNNITELMA'!G24/1000</f>
        <v>0</v>
      </c>
      <c r="H12" s="578">
        <f>'1 INVESTOINTISUUNNITELMA'!H24/1000</f>
        <v>0</v>
      </c>
      <c r="I12" s="581">
        <f>SUM(E12:H12)</f>
        <v>0</v>
      </c>
      <c r="J12" s="970"/>
      <c r="K12" s="971"/>
      <c r="L12" s="971"/>
      <c r="M12" s="971"/>
      <c r="N12" s="971"/>
      <c r="O12" s="971"/>
      <c r="P12" s="972"/>
      <c r="R12" s="576"/>
      <c r="S12" s="577" t="s">
        <v>234</v>
      </c>
      <c r="T12" s="578">
        <f>'3 TASE'!G19/1000</f>
        <v>0</v>
      </c>
      <c r="U12" s="578">
        <f>'3 TASE'!H19/1000</f>
        <v>0</v>
      </c>
      <c r="V12" s="578">
        <f>'3 TASE'!I19/1000</f>
        <v>0</v>
      </c>
      <c r="W12" s="578">
        <f>'3 TASE'!J19/1000</f>
        <v>0</v>
      </c>
      <c r="X12" s="578">
        <f>'3 TASE'!K19/1000</f>
        <v>0</v>
      </c>
      <c r="Y12" s="578">
        <f>'3 TASE'!L19/1000</f>
        <v>0</v>
      </c>
      <c r="AA12" s="576" t="s">
        <v>844</v>
      </c>
      <c r="AB12" s="620"/>
      <c r="AC12" s="620"/>
      <c r="AD12" s="626" t="s">
        <v>222</v>
      </c>
      <c r="AE12" s="1126">
        <f>'8 RAHOITUSSUUNNITELMA'!F48/1000</f>
        <v>0</v>
      </c>
      <c r="AF12" s="1127"/>
      <c r="AG12" s="1126">
        <f>'8 RAHOITUSSUUNNITELMA'!G48/1000</f>
        <v>0</v>
      </c>
      <c r="AH12" s="1127"/>
      <c r="AI12" s="1126">
        <f>'8 RAHOITUSSUUNNITELMA'!H48/1000</f>
        <v>0</v>
      </c>
      <c r="AJ12" s="1127"/>
      <c r="AK12" s="1126">
        <f>'8 RAHOITUSSUUNNITELMA'!I48/1000</f>
        <v>0</v>
      </c>
      <c r="AL12" s="1127"/>
      <c r="AM12" s="1126">
        <f>'8 RAHOITUSSUUNNITELMA'!J48/1000</f>
        <v>0</v>
      </c>
      <c r="AN12" s="1127"/>
      <c r="AO12" s="1126">
        <f>'8 RAHOITUSSUUNNITELMA'!K48/1000</f>
        <v>0</v>
      </c>
      <c r="AP12" s="1127"/>
      <c r="AR12" s="646" t="s">
        <v>352</v>
      </c>
      <c r="AS12" s="648">
        <f>'8 RAHOITUSSUUNNITELMA'!N29</f>
        <v>0</v>
      </c>
      <c r="AT12" s="648">
        <f>'8 RAHOITUSSUUNNITELMA'!O29</f>
        <v>0</v>
      </c>
      <c r="AU12" s="648">
        <f>'8 RAHOITUSSUUNNITELMA'!P29</f>
        <v>0</v>
      </c>
      <c r="AV12" s="648">
        <f>'8 RAHOITUSSUUNNITELMA'!Q29</f>
        <v>0</v>
      </c>
      <c r="AW12" s="648">
        <f>'8 RAHOITUSSUUNNITELMA'!R29</f>
        <v>0</v>
      </c>
      <c r="AX12" s="648">
        <f>'8 RAHOITUSSUUNNITELMA'!S29</f>
        <v>0</v>
      </c>
    </row>
    <row r="13" spans="3:50" x14ac:dyDescent="0.3">
      <c r="C13" s="576"/>
      <c r="D13" s="577" t="s">
        <v>416</v>
      </c>
      <c r="E13" s="579">
        <f>'1 INVESTOINTISUUNNITELMA'!E26</f>
        <v>0</v>
      </c>
      <c r="F13" s="579">
        <f>'1 INVESTOINTISUUNNITELMA'!F26</f>
        <v>0</v>
      </c>
      <c r="G13" s="579">
        <f>'1 INVESTOINTISUUNNITELMA'!G26</f>
        <v>0</v>
      </c>
      <c r="H13" s="579">
        <f>'1 INVESTOINTISUUNNITELMA'!H26</f>
        <v>0</v>
      </c>
      <c r="I13" s="580"/>
      <c r="J13" s="970"/>
      <c r="K13" s="971"/>
      <c r="L13" s="971"/>
      <c r="M13" s="971"/>
      <c r="N13" s="971"/>
      <c r="O13" s="971"/>
      <c r="P13" s="972"/>
      <c r="R13" s="576"/>
      <c r="S13" s="577" t="s">
        <v>235</v>
      </c>
      <c r="T13" s="578">
        <f>'3 TASE'!G23/1000</f>
        <v>0</v>
      </c>
      <c r="U13" s="578">
        <f>'3 TASE'!H23/1000</f>
        <v>0</v>
      </c>
      <c r="V13" s="578">
        <f>'3 TASE'!I23/1000</f>
        <v>0</v>
      </c>
      <c r="W13" s="578">
        <f>'3 TASE'!J23/1000</f>
        <v>0</v>
      </c>
      <c r="X13" s="578">
        <f>'3 TASE'!K23/1000</f>
        <v>0</v>
      </c>
      <c r="Y13" s="578">
        <f>'3 TASE'!L23/1000</f>
        <v>0</v>
      </c>
      <c r="AA13" s="576" t="s">
        <v>845</v>
      </c>
      <c r="AB13" s="620"/>
      <c r="AC13" s="620"/>
      <c r="AD13" s="626" t="s">
        <v>222</v>
      </c>
      <c r="AE13" s="1126">
        <f>'8 RAHOITUSSUUNNITELMA'!F49/1000</f>
        <v>0</v>
      </c>
      <c r="AF13" s="1127"/>
      <c r="AG13" s="1126">
        <f>'8 RAHOITUSSUUNNITELMA'!G49/1000</f>
        <v>0</v>
      </c>
      <c r="AH13" s="1127"/>
      <c r="AI13" s="1126">
        <f>'8 RAHOITUSSUUNNITELMA'!H49/1000</f>
        <v>0</v>
      </c>
      <c r="AJ13" s="1127"/>
      <c r="AK13" s="1126">
        <f>'8 RAHOITUSSUUNNITELMA'!I49/1000</f>
        <v>0</v>
      </c>
      <c r="AL13" s="1127"/>
      <c r="AM13" s="1126">
        <f>'8 RAHOITUSSUUNNITELMA'!J49/1000</f>
        <v>0</v>
      </c>
      <c r="AN13" s="1127"/>
      <c r="AO13" s="1126">
        <f>'8 RAHOITUSSUUNNITELMA'!K49/1000</f>
        <v>0</v>
      </c>
      <c r="AP13" s="1127"/>
      <c r="AR13" s="580" t="s">
        <v>360</v>
      </c>
      <c r="AS13" s="650"/>
      <c r="AT13" s="649">
        <f>'8 RAHOITUSSUUNNITELMA'!O30</f>
        <v>0</v>
      </c>
      <c r="AU13" s="649">
        <f>'8 RAHOITUSSUUNNITELMA'!P30</f>
        <v>0</v>
      </c>
      <c r="AV13" s="649">
        <f>'8 RAHOITUSSUUNNITELMA'!Q30</f>
        <v>0</v>
      </c>
      <c r="AW13" s="649">
        <f>'8 RAHOITUSSUUNNITELMA'!R30</f>
        <v>0</v>
      </c>
      <c r="AX13" s="649">
        <f>'8 RAHOITUSSUUNNITELMA'!S30</f>
        <v>0</v>
      </c>
    </row>
    <row r="14" spans="3:50" x14ac:dyDescent="0.3">
      <c r="C14" s="576" t="s">
        <v>278</v>
      </c>
      <c r="D14" s="577" t="s">
        <v>420</v>
      </c>
      <c r="E14" s="578">
        <f>'1 INVESTOINTISUUNNITELMA'!E27/1000</f>
        <v>0</v>
      </c>
      <c r="F14" s="578">
        <f>'1 INVESTOINTISUUNNITELMA'!F27/1000</f>
        <v>0</v>
      </c>
      <c r="G14" s="578">
        <f>'1 INVESTOINTISUUNNITELMA'!G27/1000</f>
        <v>0</v>
      </c>
      <c r="H14" s="578">
        <f>'1 INVESTOINTISUUNNITELMA'!H27/1000</f>
        <v>0</v>
      </c>
      <c r="I14" s="581">
        <f>SUM(E14:H14)</f>
        <v>0</v>
      </c>
      <c r="J14" s="970"/>
      <c r="K14" s="971"/>
      <c r="L14" s="971"/>
      <c r="M14" s="971"/>
      <c r="N14" s="971"/>
      <c r="O14" s="971"/>
      <c r="P14" s="972"/>
      <c r="R14" s="576"/>
      <c r="S14" s="577" t="s">
        <v>236</v>
      </c>
      <c r="T14" s="578">
        <f>'3 TASE'!G27/1000</f>
        <v>0</v>
      </c>
      <c r="U14" s="578">
        <f>'3 TASE'!H27/1000</f>
        <v>0</v>
      </c>
      <c r="V14" s="578">
        <f>'3 TASE'!I27/1000</f>
        <v>0</v>
      </c>
      <c r="W14" s="578">
        <f>'3 TASE'!J27/1000</f>
        <v>0</v>
      </c>
      <c r="X14" s="578">
        <f>'3 TASE'!K27/1000</f>
        <v>0</v>
      </c>
      <c r="Y14" s="578">
        <f>'3 TASE'!L27/1000</f>
        <v>0</v>
      </c>
      <c r="AA14" s="627" t="s">
        <v>629</v>
      </c>
      <c r="AB14" s="628"/>
      <c r="AC14" s="628"/>
      <c r="AD14" s="629" t="s">
        <v>851</v>
      </c>
      <c r="AE14" s="1129">
        <f>'8 RAHOITUSSUUNNITELMA'!F50</f>
        <v>0</v>
      </c>
      <c r="AF14" s="1130"/>
      <c r="AG14" s="1129">
        <f>'8 RAHOITUSSUUNNITELMA'!G50</f>
        <v>0</v>
      </c>
      <c r="AH14" s="1130"/>
      <c r="AI14" s="1129">
        <f>'8 RAHOITUSSUUNNITELMA'!H50</f>
        <v>0</v>
      </c>
      <c r="AJ14" s="1130"/>
      <c r="AK14" s="1129">
        <f>'8 RAHOITUSSUUNNITELMA'!I50</f>
        <v>0</v>
      </c>
      <c r="AL14" s="1130"/>
      <c r="AM14" s="1129">
        <f>'8 RAHOITUSSUUNNITELMA'!J50</f>
        <v>0</v>
      </c>
      <c r="AN14" s="1130"/>
      <c r="AO14" s="1129">
        <f>'8 RAHOITUSSUUNNITELMA'!K50</f>
        <v>0</v>
      </c>
      <c r="AP14" s="1130"/>
      <c r="AR14" s="580" t="s">
        <v>361</v>
      </c>
      <c r="AS14" s="650"/>
      <c r="AT14" s="649">
        <f>'8 RAHOITUSSUUNNITELMA'!O31</f>
        <v>0</v>
      </c>
      <c r="AU14" s="649">
        <f>'8 RAHOITUSSUUNNITELMA'!P31</f>
        <v>0</v>
      </c>
      <c r="AV14" s="649">
        <f>'8 RAHOITUSSUUNNITELMA'!Q31</f>
        <v>0</v>
      </c>
      <c r="AW14" s="649">
        <f>'8 RAHOITUSSUUNNITELMA'!R31</f>
        <v>0</v>
      </c>
      <c r="AX14" s="649">
        <f>'8 RAHOITUSSUUNNITELMA'!S31</f>
        <v>0</v>
      </c>
    </row>
    <row r="15" spans="3:50" x14ac:dyDescent="0.3">
      <c r="C15" s="576"/>
      <c r="D15" s="577" t="s">
        <v>416</v>
      </c>
      <c r="E15" s="579">
        <f>'1 INVESTOINTISUUNNITELMA'!E29</f>
        <v>0</v>
      </c>
      <c r="F15" s="579">
        <f>'1 INVESTOINTISUUNNITELMA'!F29</f>
        <v>0</v>
      </c>
      <c r="G15" s="579">
        <f>'1 INVESTOINTISUUNNITELMA'!G29</f>
        <v>0</v>
      </c>
      <c r="H15" s="579">
        <f>'1 INVESTOINTISUUNNITELMA'!H29</f>
        <v>0</v>
      </c>
      <c r="I15" s="580"/>
      <c r="J15" s="970"/>
      <c r="K15" s="971"/>
      <c r="L15" s="971"/>
      <c r="M15" s="971"/>
      <c r="N15" s="971"/>
      <c r="O15" s="971"/>
      <c r="P15" s="972"/>
      <c r="R15" s="576"/>
      <c r="S15" s="577" t="s">
        <v>237</v>
      </c>
      <c r="T15" s="578">
        <f>'3 TASE'!G31/1000</f>
        <v>0</v>
      </c>
      <c r="U15" s="578">
        <f>'3 TASE'!H31/1000</f>
        <v>0</v>
      </c>
      <c r="V15" s="578">
        <f>'3 TASE'!I31/1000</f>
        <v>0</v>
      </c>
      <c r="W15" s="578">
        <f>'3 TASE'!J31/1000</f>
        <v>0</v>
      </c>
      <c r="X15" s="578">
        <f>'3 TASE'!K31/1000</f>
        <v>0</v>
      </c>
      <c r="Y15" s="578">
        <f>'3 TASE'!L31/1000</f>
        <v>0</v>
      </c>
      <c r="AA15" s="576" t="s">
        <v>846</v>
      </c>
      <c r="AB15" s="620"/>
      <c r="AC15" s="620"/>
      <c r="AD15" s="626" t="s">
        <v>223</v>
      </c>
      <c r="AE15" s="1126">
        <f>'8 RAHOITUSSUUNNITELMA'!F51/1000</f>
        <v>0</v>
      </c>
      <c r="AF15" s="1127"/>
      <c r="AG15" s="1126">
        <f>'8 RAHOITUSSUUNNITELMA'!G51/1000</f>
        <v>0</v>
      </c>
      <c r="AH15" s="1127"/>
      <c r="AI15" s="1126">
        <f>'8 RAHOITUSSUUNNITELMA'!H51/1000</f>
        <v>0</v>
      </c>
      <c r="AJ15" s="1127"/>
      <c r="AK15" s="1126">
        <f>'8 RAHOITUSSUUNNITELMA'!I51/1000</f>
        <v>0</v>
      </c>
      <c r="AL15" s="1127"/>
      <c r="AM15" s="1126">
        <f>'8 RAHOITUSSUUNNITELMA'!J51/1000</f>
        <v>0</v>
      </c>
      <c r="AN15" s="1127"/>
      <c r="AO15" s="1126">
        <f>'8 RAHOITUSSUUNNITELMA'!K51/1000</f>
        <v>0</v>
      </c>
      <c r="AP15" s="1127"/>
      <c r="AR15" s="646" t="s">
        <v>352</v>
      </c>
      <c r="AS15" s="651"/>
      <c r="AT15" s="648">
        <f>'8 RAHOITUSSUUNNITELMA'!O32</f>
        <v>0</v>
      </c>
      <c r="AU15" s="648">
        <f>'8 RAHOITUSSUUNNITELMA'!P32</f>
        <v>0</v>
      </c>
      <c r="AV15" s="648">
        <f>'8 RAHOITUSSUUNNITELMA'!Q32</f>
        <v>0</v>
      </c>
      <c r="AW15" s="648">
        <f>'8 RAHOITUSSUUNNITELMA'!R32</f>
        <v>0</v>
      </c>
      <c r="AX15" s="648">
        <f>'8 RAHOITUSSUUNNITELMA'!S32</f>
        <v>0</v>
      </c>
    </row>
    <row r="16" spans="3:50" x14ac:dyDescent="0.3">
      <c r="C16" s="576" t="s">
        <v>279</v>
      </c>
      <c r="D16" s="577" t="s">
        <v>421</v>
      </c>
      <c r="E16" s="578">
        <f>'1 INVESTOINTISUUNNITELMA'!E30/1000</f>
        <v>0</v>
      </c>
      <c r="F16" s="578">
        <f>'1 INVESTOINTISUUNNITELMA'!F30/1000</f>
        <v>0</v>
      </c>
      <c r="G16" s="578">
        <f>'1 INVESTOINTISUUNNITELMA'!G30/1000</f>
        <v>0</v>
      </c>
      <c r="H16" s="578">
        <f>'1 INVESTOINTISUUNNITELMA'!H30/1000</f>
        <v>0</v>
      </c>
      <c r="I16" s="581">
        <f>SUM(E16:H16)</f>
        <v>0</v>
      </c>
      <c r="J16" s="970"/>
      <c r="K16" s="971"/>
      <c r="L16" s="971"/>
      <c r="M16" s="971"/>
      <c r="N16" s="971"/>
      <c r="O16" s="971"/>
      <c r="P16" s="972"/>
      <c r="R16" s="611" t="s">
        <v>802</v>
      </c>
      <c r="S16" s="612" t="s">
        <v>803</v>
      </c>
      <c r="T16" s="581">
        <f>'3 TASE'!G35/1000</f>
        <v>0</v>
      </c>
      <c r="U16" s="581">
        <f>'3 TASE'!H35/1000</f>
        <v>0</v>
      </c>
      <c r="V16" s="581">
        <f>'3 TASE'!I35/1000</f>
        <v>0</v>
      </c>
      <c r="W16" s="581">
        <f>'3 TASE'!J35/1000</f>
        <v>0</v>
      </c>
      <c r="X16" s="581">
        <f>'3 TASE'!K35/1000</f>
        <v>0</v>
      </c>
      <c r="Y16" s="581">
        <f>'3 TASE'!L35/1000</f>
        <v>0</v>
      </c>
      <c r="AA16" s="627" t="s">
        <v>268</v>
      </c>
      <c r="AB16" s="628"/>
      <c r="AC16" s="628"/>
      <c r="AD16" s="629" t="s">
        <v>852</v>
      </c>
      <c r="AE16" s="1131">
        <f>'8 RAHOITUSSUUNNITELMA'!F52</f>
        <v>0</v>
      </c>
      <c r="AF16" s="1132"/>
      <c r="AG16" s="1131">
        <f>'8 RAHOITUSSUUNNITELMA'!G52</f>
        <v>0</v>
      </c>
      <c r="AH16" s="1132"/>
      <c r="AI16" s="1131">
        <f>'8 RAHOITUSSUUNNITELMA'!H52</f>
        <v>0</v>
      </c>
      <c r="AJ16" s="1132"/>
      <c r="AK16" s="1131">
        <f>'8 RAHOITUSSUUNNITELMA'!I52</f>
        <v>0</v>
      </c>
      <c r="AL16" s="1132"/>
      <c r="AM16" s="1131">
        <f>'8 RAHOITUSSUUNNITELMA'!J52</f>
        <v>0</v>
      </c>
      <c r="AN16" s="1132"/>
      <c r="AO16" s="1131">
        <f>'8 RAHOITUSSUUNNITELMA'!K52</f>
        <v>0</v>
      </c>
      <c r="AP16" s="1132"/>
      <c r="AR16" s="608" t="s">
        <v>362</v>
      </c>
    </row>
    <row r="17" spans="3:50" x14ac:dyDescent="0.3">
      <c r="C17" s="576"/>
      <c r="D17" s="577" t="s">
        <v>416</v>
      </c>
      <c r="E17" s="579">
        <f>'1 INVESTOINTISUUNNITELMA'!E31</f>
        <v>0</v>
      </c>
      <c r="F17" s="579">
        <f>'1 INVESTOINTISUUNNITELMA'!F31</f>
        <v>0</v>
      </c>
      <c r="G17" s="579">
        <f>'1 INVESTOINTISUUNNITELMA'!G31</f>
        <v>0</v>
      </c>
      <c r="H17" s="579">
        <f>'1 INVESTOINTISUUNNITELMA'!H31</f>
        <v>0</v>
      </c>
      <c r="I17" s="580"/>
      <c r="J17" s="970"/>
      <c r="K17" s="971"/>
      <c r="L17" s="971"/>
      <c r="M17" s="971"/>
      <c r="N17" s="971"/>
      <c r="O17" s="971"/>
      <c r="P17" s="972"/>
      <c r="R17" s="576"/>
      <c r="S17" s="577" t="s">
        <v>240</v>
      </c>
      <c r="T17" s="578">
        <f>'3 TASE'!G36/1000</f>
        <v>0</v>
      </c>
      <c r="U17" s="578">
        <f>'3 TASE'!H36/1000</f>
        <v>0</v>
      </c>
      <c r="V17" s="578">
        <f>'3 TASE'!I36/1000</f>
        <v>0</v>
      </c>
      <c r="W17" s="578">
        <f>'3 TASE'!J36/1000</f>
        <v>0</v>
      </c>
      <c r="X17" s="578">
        <f>'3 TASE'!K36/1000</f>
        <v>0</v>
      </c>
      <c r="Y17" s="578">
        <f>'3 TASE'!L36/1000</f>
        <v>0</v>
      </c>
      <c r="AA17" s="576" t="s">
        <v>847</v>
      </c>
      <c r="AB17" s="620"/>
      <c r="AC17" s="620"/>
      <c r="AD17" s="626" t="s">
        <v>223</v>
      </c>
      <c r="AE17" s="1126">
        <f>'8 RAHOITUSSUUNNITELMA'!F53/1000</f>
        <v>0</v>
      </c>
      <c r="AF17" s="1127"/>
      <c r="AG17" s="1126">
        <f>'8 RAHOITUSSUUNNITELMA'!G53/1000</f>
        <v>0</v>
      </c>
      <c r="AH17" s="1127"/>
      <c r="AI17" s="1126">
        <f>'8 RAHOITUSSUUNNITELMA'!H53/1000</f>
        <v>0</v>
      </c>
      <c r="AJ17" s="1127"/>
      <c r="AK17" s="1126">
        <f>'8 RAHOITUSSUUNNITELMA'!I53/1000</f>
        <v>0</v>
      </c>
      <c r="AL17" s="1127"/>
      <c r="AM17" s="1126">
        <f>'8 RAHOITUSSUUNNITELMA'!J53/1000</f>
        <v>0</v>
      </c>
      <c r="AN17" s="1127"/>
      <c r="AO17" s="1126">
        <f>'8 RAHOITUSSUUNNITELMA'!K53/1000</f>
        <v>0</v>
      </c>
      <c r="AP17" s="1127"/>
      <c r="AR17" s="580" t="s">
        <v>363</v>
      </c>
      <c r="AS17" s="635">
        <f>'8 RAHOITUSSUUNNITELMA'!N34</f>
        <v>0</v>
      </c>
      <c r="AT17" s="635">
        <f>'8 RAHOITUSSUUNNITELMA'!O34</f>
        <v>0</v>
      </c>
      <c r="AU17" s="635">
        <f>'8 RAHOITUSSUUNNITELMA'!P34</f>
        <v>0</v>
      </c>
      <c r="AV17" s="635">
        <f>'8 RAHOITUSSUUNNITELMA'!Q34</f>
        <v>0</v>
      </c>
      <c r="AW17" s="635">
        <f>'8 RAHOITUSSUUNNITELMA'!R34</f>
        <v>0</v>
      </c>
      <c r="AX17" s="635">
        <f>'8 RAHOITUSSUUNNITELMA'!S34</f>
        <v>0</v>
      </c>
    </row>
    <row r="18" spans="3:50" x14ac:dyDescent="0.3">
      <c r="C18" s="576" t="s">
        <v>285</v>
      </c>
      <c r="D18" s="577" t="s">
        <v>422</v>
      </c>
      <c r="E18" s="578">
        <f>'1 INVESTOINTISUUNNITELMA'!E32/1000</f>
        <v>0</v>
      </c>
      <c r="F18" s="578">
        <f>'1 INVESTOINTISUUNNITELMA'!F32/1000</f>
        <v>0</v>
      </c>
      <c r="G18" s="578">
        <f>'1 INVESTOINTISUUNNITELMA'!G32/1000</f>
        <v>0</v>
      </c>
      <c r="H18" s="578">
        <f>'1 INVESTOINTISUUNNITELMA'!H32/1000</f>
        <v>0</v>
      </c>
      <c r="I18" s="581">
        <f>SUM(E18:H18)</f>
        <v>0</v>
      </c>
      <c r="J18" s="970"/>
      <c r="K18" s="971"/>
      <c r="L18" s="971"/>
      <c r="M18" s="971"/>
      <c r="N18" s="971"/>
      <c r="O18" s="971"/>
      <c r="P18" s="972"/>
      <c r="R18" s="576"/>
      <c r="S18" s="577" t="s">
        <v>241</v>
      </c>
      <c r="T18" s="578">
        <f>'3 TASE'!G38/1000</f>
        <v>0</v>
      </c>
      <c r="U18" s="578">
        <f>'3 TASE'!H38/1000</f>
        <v>0</v>
      </c>
      <c r="V18" s="578">
        <f>'3 TASE'!I38/1000</f>
        <v>0</v>
      </c>
      <c r="W18" s="578">
        <f>'3 TASE'!J38/1000</f>
        <v>0</v>
      </c>
      <c r="X18" s="578">
        <f>'3 TASE'!K38/1000</f>
        <v>0</v>
      </c>
      <c r="Y18" s="578">
        <f>'3 TASE'!L38/1000</f>
        <v>0</v>
      </c>
      <c r="AA18" s="627" t="s">
        <v>630</v>
      </c>
      <c r="AB18" s="628"/>
      <c r="AC18" s="628"/>
      <c r="AD18" s="629" t="s">
        <v>851</v>
      </c>
      <c r="AE18" s="1129">
        <f>'8 RAHOITUSSUUNNITELMA'!F54</f>
        <v>0</v>
      </c>
      <c r="AF18" s="1130"/>
      <c r="AG18" s="1129">
        <f>'8 RAHOITUSSUUNNITELMA'!G54</f>
        <v>0</v>
      </c>
      <c r="AH18" s="1130"/>
      <c r="AI18" s="1129">
        <f>'8 RAHOITUSSUUNNITELMA'!H54</f>
        <v>0</v>
      </c>
      <c r="AJ18" s="1130"/>
      <c r="AK18" s="1129">
        <f>'8 RAHOITUSSUUNNITELMA'!I54</f>
        <v>0</v>
      </c>
      <c r="AL18" s="1130"/>
      <c r="AM18" s="1129">
        <f>'8 RAHOITUSSUUNNITELMA'!J54</f>
        <v>0</v>
      </c>
      <c r="AN18" s="1130"/>
      <c r="AO18" s="1129">
        <f>'8 RAHOITUSSUUNNITELMA'!K54</f>
        <v>0</v>
      </c>
      <c r="AP18" s="1130"/>
      <c r="AR18" s="646" t="s">
        <v>352</v>
      </c>
      <c r="AS18" s="648">
        <f>'8 RAHOITUSSUUNNITELMA'!N35</f>
        <v>0</v>
      </c>
      <c r="AT18" s="648">
        <f>'8 RAHOITUSSUUNNITELMA'!O35</f>
        <v>0</v>
      </c>
      <c r="AU18" s="648">
        <f>'8 RAHOITUSSUUNNITELMA'!P35</f>
        <v>0</v>
      </c>
      <c r="AV18" s="648">
        <f>'8 RAHOITUSSUUNNITELMA'!Q35</f>
        <v>0</v>
      </c>
      <c r="AW18" s="648">
        <f>'8 RAHOITUSSUUNNITELMA'!R35</f>
        <v>0</v>
      </c>
      <c r="AX18" s="648">
        <f>'8 RAHOITUSSUUNNITELMA'!S35</f>
        <v>0</v>
      </c>
    </row>
    <row r="19" spans="3:50" x14ac:dyDescent="0.3">
      <c r="C19" s="576"/>
      <c r="D19" s="577" t="s">
        <v>416</v>
      </c>
      <c r="E19" s="579">
        <f>'1 INVESTOINTISUUNNITELMA'!E34</f>
        <v>0</v>
      </c>
      <c r="F19" s="579">
        <f>'1 INVESTOINTISUUNNITELMA'!F34</f>
        <v>0</v>
      </c>
      <c r="G19" s="579">
        <f>'1 INVESTOINTISUUNNITELMA'!G34</f>
        <v>0</v>
      </c>
      <c r="H19" s="579">
        <f>'1 INVESTOINTISUUNNITELMA'!H34</f>
        <v>0</v>
      </c>
      <c r="I19" s="580"/>
      <c r="J19" s="970"/>
      <c r="K19" s="971"/>
      <c r="L19" s="971"/>
      <c r="M19" s="971"/>
      <c r="N19" s="971"/>
      <c r="O19" s="971"/>
      <c r="P19" s="972"/>
      <c r="R19" s="576"/>
      <c r="S19" s="577" t="s">
        <v>243</v>
      </c>
      <c r="T19" s="578">
        <f>'3 TASE'!G39/1000</f>
        <v>0</v>
      </c>
      <c r="U19" s="578">
        <f>'3 TASE'!H39/1000</f>
        <v>0</v>
      </c>
      <c r="V19" s="578">
        <f>'3 TASE'!I39/1000</f>
        <v>0</v>
      </c>
      <c r="W19" s="578">
        <f>'3 TASE'!J39/1000</f>
        <v>0</v>
      </c>
      <c r="X19" s="578">
        <f>'3 TASE'!K39/1000</f>
        <v>0</v>
      </c>
      <c r="Y19" s="578">
        <f>'3 TASE'!L39/1000</f>
        <v>0</v>
      </c>
      <c r="AA19" s="576" t="s">
        <v>848</v>
      </c>
      <c r="AB19" s="620"/>
      <c r="AC19" s="620"/>
      <c r="AD19" s="626" t="s">
        <v>343</v>
      </c>
      <c r="AE19" s="1126">
        <f>'8 RAHOITUSSUUNNITELMA'!F55/1000</f>
        <v>0</v>
      </c>
      <c r="AF19" s="1127"/>
      <c r="AG19" s="1126">
        <f>'8 RAHOITUSSUUNNITELMA'!G55/1000</f>
        <v>0</v>
      </c>
      <c r="AH19" s="1127"/>
      <c r="AI19" s="1126">
        <f>'8 RAHOITUSSUUNNITELMA'!H55/1000</f>
        <v>0</v>
      </c>
      <c r="AJ19" s="1127"/>
      <c r="AK19" s="1126">
        <f>'8 RAHOITUSSUUNNITELMA'!I55/1000</f>
        <v>0</v>
      </c>
      <c r="AL19" s="1127"/>
      <c r="AM19" s="1126">
        <f>'8 RAHOITUSSUUNNITELMA'!J55/1000</f>
        <v>0</v>
      </c>
      <c r="AN19" s="1127"/>
      <c r="AO19" s="1126">
        <f>'8 RAHOITUSSUUNNITELMA'!K55/1000</f>
        <v>0</v>
      </c>
      <c r="AP19" s="1127"/>
      <c r="AR19" s="580" t="s">
        <v>364</v>
      </c>
      <c r="AS19" s="649">
        <f>'8 RAHOITUSSUUNNITELMA'!N36</f>
        <v>0</v>
      </c>
      <c r="AT19" s="649">
        <f>'8 RAHOITUSSUUNNITELMA'!O36</f>
        <v>0</v>
      </c>
      <c r="AU19" s="649">
        <f>'8 RAHOITUSSUUNNITELMA'!P36</f>
        <v>0</v>
      </c>
      <c r="AV19" s="649">
        <f>'8 RAHOITUSSUUNNITELMA'!Q36</f>
        <v>0</v>
      </c>
      <c r="AW19" s="649">
        <f>'8 RAHOITUSSUUNNITELMA'!R36</f>
        <v>0</v>
      </c>
      <c r="AX19" s="649">
        <f>'8 RAHOITUSSUUNNITELMA'!S36</f>
        <v>0</v>
      </c>
    </row>
    <row r="20" spans="3:50" x14ac:dyDescent="0.3">
      <c r="C20" s="576" t="s">
        <v>286</v>
      </c>
      <c r="D20" s="577" t="s">
        <v>423</v>
      </c>
      <c r="E20" s="578">
        <f>'1 INVESTOINTISUUNNITELMA'!E35/1000</f>
        <v>0</v>
      </c>
      <c r="F20" s="578">
        <f>'1 INVESTOINTISUUNNITELMA'!F35/1000</f>
        <v>0</v>
      </c>
      <c r="G20" s="578">
        <f>'1 INVESTOINTISUUNNITELMA'!G35/1000</f>
        <v>0</v>
      </c>
      <c r="H20" s="578">
        <f>'1 INVESTOINTISUUNNITELMA'!H35/1000</f>
        <v>0</v>
      </c>
      <c r="I20" s="581">
        <f>SUM(E20:H20)</f>
        <v>0</v>
      </c>
      <c r="J20" s="970"/>
      <c r="K20" s="971"/>
      <c r="L20" s="971"/>
      <c r="M20" s="971"/>
      <c r="N20" s="971"/>
      <c r="O20" s="971"/>
      <c r="P20" s="972"/>
      <c r="R20" s="576"/>
      <c r="S20" s="577" t="s">
        <v>244</v>
      </c>
      <c r="T20" s="578">
        <f>'3 TASE'!G41/1000</f>
        <v>0</v>
      </c>
      <c r="U20" s="578">
        <f>'3 TASE'!H41/1000</f>
        <v>0</v>
      </c>
      <c r="V20" s="578">
        <f>'3 TASE'!I41/1000</f>
        <v>0</v>
      </c>
      <c r="W20" s="578">
        <f>'3 TASE'!J41/1000</f>
        <v>0</v>
      </c>
      <c r="X20" s="578">
        <f>'3 TASE'!K41/1000</f>
        <v>0</v>
      </c>
      <c r="Y20" s="578">
        <f>'3 TASE'!L41/1000</f>
        <v>0</v>
      </c>
      <c r="AA20" s="576" t="s">
        <v>849</v>
      </c>
      <c r="AB20" s="620"/>
      <c r="AC20" s="620"/>
      <c r="AD20" s="626" t="s">
        <v>224</v>
      </c>
      <c r="AE20" s="1141">
        <f>'8 RAHOITUSSUUNNITELMA'!F56/1000</f>
        <v>0</v>
      </c>
      <c r="AF20" s="1142"/>
      <c r="AG20" s="1126">
        <f>'8 RAHOITUSSUUNNITELMA'!G56/1000</f>
        <v>0</v>
      </c>
      <c r="AH20" s="1127"/>
      <c r="AI20" s="1126">
        <f>'8 RAHOITUSSUUNNITELMA'!H56/1000</f>
        <v>0</v>
      </c>
      <c r="AJ20" s="1127"/>
      <c r="AK20" s="1126">
        <f>'8 RAHOITUSSUUNNITELMA'!I56/1000</f>
        <v>0</v>
      </c>
      <c r="AL20" s="1127"/>
      <c r="AM20" s="1126">
        <f>'8 RAHOITUSSUUNNITELMA'!J56/1000</f>
        <v>0</v>
      </c>
      <c r="AN20" s="1127"/>
      <c r="AO20" s="1126">
        <f>'8 RAHOITUSSUUNNITELMA'!K56/1000</f>
        <v>0</v>
      </c>
      <c r="AP20" s="1127"/>
      <c r="AR20" s="646" t="s">
        <v>352</v>
      </c>
      <c r="AS20" s="648" t="str">
        <f>'8 RAHOITUSSUUNNITELMA'!N37</f>
        <v/>
      </c>
      <c r="AT20" s="648" t="str">
        <f>'8 RAHOITUSSUUNNITELMA'!O37</f>
        <v/>
      </c>
      <c r="AU20" s="648" t="str">
        <f>'8 RAHOITUSSUUNNITELMA'!P37</f>
        <v/>
      </c>
      <c r="AV20" s="648" t="str">
        <f>'8 RAHOITUSSUUNNITELMA'!Q37</f>
        <v/>
      </c>
      <c r="AW20" s="648" t="str">
        <f>'8 RAHOITUSSUUNNITELMA'!R37</f>
        <v/>
      </c>
      <c r="AX20" s="648" t="str">
        <f>'8 RAHOITUSSUUNNITELMA'!S37</f>
        <v/>
      </c>
    </row>
    <row r="21" spans="3:50" x14ac:dyDescent="0.3">
      <c r="C21" s="576"/>
      <c r="D21" s="577" t="s">
        <v>416</v>
      </c>
      <c r="E21" s="579">
        <f>'1 INVESTOINTISUUNNITELMA'!E37</f>
        <v>0</v>
      </c>
      <c r="F21" s="579">
        <f>'1 INVESTOINTISUUNNITELMA'!F37</f>
        <v>0</v>
      </c>
      <c r="G21" s="579">
        <f>'1 INVESTOINTISUUNNITELMA'!G37</f>
        <v>0</v>
      </c>
      <c r="H21" s="579">
        <f>'1 INVESTOINTISUUNNITELMA'!H37</f>
        <v>0</v>
      </c>
      <c r="I21" s="580"/>
      <c r="J21" s="970"/>
      <c r="K21" s="971"/>
      <c r="L21" s="971"/>
      <c r="M21" s="971"/>
      <c r="N21" s="971"/>
      <c r="O21" s="971"/>
      <c r="P21" s="972"/>
      <c r="R21" s="576"/>
      <c r="S21" s="577" t="s">
        <v>245</v>
      </c>
      <c r="T21" s="578">
        <f>'3 TASE'!G43/1000</f>
        <v>0</v>
      </c>
      <c r="U21" s="578">
        <f>'3 TASE'!H43/1000</f>
        <v>0</v>
      </c>
      <c r="V21" s="578">
        <f>'3 TASE'!I43/1000</f>
        <v>0</v>
      </c>
      <c r="W21" s="578">
        <f>'3 TASE'!J43/1000</f>
        <v>0</v>
      </c>
      <c r="X21" s="578">
        <f>'3 TASE'!K43/1000</f>
        <v>0</v>
      </c>
      <c r="Y21" s="578">
        <f>'3 TASE'!L43/1000</f>
        <v>0</v>
      </c>
    </row>
    <row r="22" spans="3:50" x14ac:dyDescent="0.3">
      <c r="C22" s="576" t="s">
        <v>289</v>
      </c>
      <c r="D22" s="577" t="s">
        <v>323</v>
      </c>
      <c r="E22" s="578">
        <f>'1 INVESTOINTISUUNNITELMA'!E38/1000</f>
        <v>0</v>
      </c>
      <c r="F22" s="578">
        <f>'1 INVESTOINTISUUNNITELMA'!F38/1000</f>
        <v>0</v>
      </c>
      <c r="G22" s="578">
        <f>'1 INVESTOINTISUUNNITELMA'!G38/1000</f>
        <v>0</v>
      </c>
      <c r="H22" s="578">
        <f>'1 INVESTOINTISUUNNITELMA'!H38/1000</f>
        <v>0</v>
      </c>
      <c r="I22" s="581">
        <f>SUM(E22:H22)</f>
        <v>0</v>
      </c>
      <c r="J22" s="970"/>
      <c r="K22" s="971"/>
      <c r="L22" s="971"/>
      <c r="M22" s="971"/>
      <c r="N22" s="971"/>
      <c r="O22" s="971"/>
      <c r="P22" s="972"/>
      <c r="R22" s="576"/>
      <c r="S22" s="577" t="s">
        <v>246</v>
      </c>
      <c r="T22" s="578">
        <f>'3 TASE'!G44/1000</f>
        <v>0</v>
      </c>
      <c r="U22" s="578">
        <f>'3 TASE'!H44/1000</f>
        <v>0</v>
      </c>
      <c r="V22" s="578">
        <f>'3 TASE'!I44/1000</f>
        <v>0</v>
      </c>
      <c r="W22" s="578">
        <f>'3 TASE'!J44/1000</f>
        <v>0</v>
      </c>
      <c r="X22" s="578">
        <f>'3 TASE'!K44/1000</f>
        <v>0</v>
      </c>
      <c r="Y22" s="578">
        <f>'3 TASE'!L44/1000</f>
        <v>0</v>
      </c>
    </row>
    <row r="23" spans="3:50" x14ac:dyDescent="0.3">
      <c r="C23" s="576" t="s">
        <v>290</v>
      </c>
      <c r="D23" s="577" t="s">
        <v>424</v>
      </c>
      <c r="E23" s="578">
        <f>'1 INVESTOINTISUUNNITELMA'!E39/1000</f>
        <v>0</v>
      </c>
      <c r="F23" s="578">
        <f>'1 INVESTOINTISUUNNITELMA'!F39/1000</f>
        <v>0</v>
      </c>
      <c r="G23" s="578">
        <f>'1 INVESTOINTISUUNNITELMA'!G39/1000</f>
        <v>0</v>
      </c>
      <c r="H23" s="578">
        <f>'1 INVESTOINTISUUNNITELMA'!H39/1000</f>
        <v>0</v>
      </c>
      <c r="I23" s="581">
        <f>SUM(E23:H23)</f>
        <v>0</v>
      </c>
      <c r="J23" s="970"/>
      <c r="K23" s="971"/>
      <c r="L23" s="971"/>
      <c r="M23" s="971"/>
      <c r="N23" s="971"/>
      <c r="O23" s="971"/>
      <c r="P23" s="972"/>
      <c r="R23" s="576"/>
      <c r="S23" s="577" t="s">
        <v>247</v>
      </c>
      <c r="T23" s="578">
        <f>'3 TASE'!G45/1000</f>
        <v>0</v>
      </c>
      <c r="U23" s="578">
        <f>'3 TASE'!H45/1000</f>
        <v>0</v>
      </c>
      <c r="V23" s="578">
        <f>'3 TASE'!I45/1000</f>
        <v>0</v>
      </c>
      <c r="W23" s="578">
        <f>'3 TASE'!J45/1000</f>
        <v>0</v>
      </c>
      <c r="X23" s="578">
        <f>'3 TASE'!K45/1000</f>
        <v>0</v>
      </c>
      <c r="Y23" s="578">
        <f>'3 TASE'!L45/1000</f>
        <v>0</v>
      </c>
    </row>
    <row r="24" spans="3:50" x14ac:dyDescent="0.3">
      <c r="C24" s="576" t="s">
        <v>291</v>
      </c>
      <c r="D24" s="577" t="s">
        <v>671</v>
      </c>
      <c r="E24" s="578">
        <f>'1 INVESTOINTISUUNNITELMA'!E40/1000</f>
        <v>0</v>
      </c>
      <c r="F24" s="578">
        <f>'1 INVESTOINTISUUNNITELMA'!F40/1000</f>
        <v>0</v>
      </c>
      <c r="G24" s="578">
        <f>'1 INVESTOINTISUUNNITELMA'!G40/1000</f>
        <v>0</v>
      </c>
      <c r="H24" s="578">
        <f>'1 INVESTOINTISUUNNITELMA'!H40/1000</f>
        <v>0</v>
      </c>
      <c r="I24" s="581">
        <f>SUM(E24:H24)</f>
        <v>0</v>
      </c>
      <c r="J24" s="970"/>
      <c r="K24" s="971"/>
      <c r="L24" s="971"/>
      <c r="M24" s="971"/>
      <c r="N24" s="971"/>
      <c r="O24" s="971"/>
      <c r="P24" s="972"/>
      <c r="R24" s="576"/>
      <c r="S24" s="577" t="s">
        <v>248</v>
      </c>
      <c r="T24" s="578">
        <f>'3 TASE'!G46/1000</f>
        <v>0</v>
      </c>
      <c r="U24" s="578">
        <f>'3 TASE'!H46/1000</f>
        <v>0</v>
      </c>
      <c r="V24" s="578">
        <f>'3 TASE'!I46/1000</f>
        <v>0</v>
      </c>
      <c r="W24" s="578">
        <f>'3 TASE'!J46/1000</f>
        <v>0</v>
      </c>
      <c r="X24" s="578">
        <f>'3 TASE'!K46/1000</f>
        <v>0</v>
      </c>
      <c r="Y24" s="578">
        <f>'3 TASE'!L46/1000</f>
        <v>0</v>
      </c>
    </row>
    <row r="25" spans="3:50" x14ac:dyDescent="0.3">
      <c r="C25" s="576"/>
      <c r="D25" s="612" t="s">
        <v>425</v>
      </c>
      <c r="E25" s="581">
        <f>E8+E10+E12+E14+E16+E18+E20+E22+E23+E24</f>
        <v>0</v>
      </c>
      <c r="F25" s="581">
        <f t="shared" ref="F25:H25" si="0">F8+F10+F12+F14+F16+F18+F20+F22+F23+F24</f>
        <v>0</v>
      </c>
      <c r="G25" s="581">
        <f t="shared" si="0"/>
        <v>0</v>
      </c>
      <c r="H25" s="581">
        <f t="shared" si="0"/>
        <v>0</v>
      </c>
      <c r="I25" s="581">
        <f>SUM(E25:H25)</f>
        <v>0</v>
      </c>
      <c r="J25" s="973"/>
      <c r="K25" s="974"/>
      <c r="L25" s="974"/>
      <c r="M25" s="974"/>
      <c r="N25" s="974"/>
      <c r="O25" s="974"/>
      <c r="P25" s="975"/>
      <c r="R25" s="611" t="s">
        <v>250</v>
      </c>
      <c r="S25" s="612"/>
      <c r="T25" s="581">
        <f t="shared" ref="T25:U25" si="1">T8+T16</f>
        <v>0</v>
      </c>
      <c r="U25" s="581">
        <f t="shared" si="1"/>
        <v>0</v>
      </c>
      <c r="V25" s="581">
        <f>V8+V16</f>
        <v>0</v>
      </c>
      <c r="W25" s="581">
        <f t="shared" ref="W25:Y25" si="2">W8+W16</f>
        <v>0</v>
      </c>
      <c r="X25" s="581">
        <f t="shared" si="2"/>
        <v>0</v>
      </c>
      <c r="Y25" s="581">
        <f t="shared" si="2"/>
        <v>0</v>
      </c>
      <c r="AA25" s="608" t="s">
        <v>856</v>
      </c>
    </row>
    <row r="27" spans="3:50" ht="15" customHeight="1" x14ac:dyDescent="0.3">
      <c r="AA27" s="597"/>
      <c r="AB27" s="1117" t="s">
        <v>855</v>
      </c>
      <c r="AC27" s="1117" t="s">
        <v>854</v>
      </c>
      <c r="AD27" s="1117" t="s">
        <v>567</v>
      </c>
    </row>
    <row r="28" spans="3:50" ht="12" customHeight="1" x14ac:dyDescent="0.3">
      <c r="C28" s="591"/>
      <c r="D28" s="592"/>
      <c r="E28" s="602" t="str">
        <f>'1 INVESTOINTISUUNNITELMA'!E15</f>
        <v>Ennuste 1</v>
      </c>
      <c r="F28" s="602" t="str">
        <f>'1 INVESTOINTISUUNNITELMA'!F15</f>
        <v>Ennuste 2</v>
      </c>
      <c r="G28" s="602" t="str">
        <f>'1 INVESTOINTISUUNNITELMA'!G15</f>
        <v>Ennuste 3</v>
      </c>
      <c r="H28" s="602" t="str">
        <f>'1 INVESTOINTISUUNNITELMA'!H15</f>
        <v>Ennuste 4</v>
      </c>
      <c r="I28" s="597"/>
      <c r="J28" s="1135" t="s">
        <v>799</v>
      </c>
      <c r="K28" s="1136"/>
      <c r="L28" s="1136"/>
      <c r="M28" s="1136"/>
      <c r="N28" s="1136"/>
      <c r="O28" s="1136"/>
      <c r="P28" s="1137"/>
      <c r="R28" s="613"/>
      <c r="S28" s="614"/>
      <c r="T28" s="828" t="str">
        <f>'3 TASE'!G50</f>
        <v>Toteuma</v>
      </c>
      <c r="U28" s="828" t="str">
        <f>'3 TASE'!H50</f>
        <v>Toteuma</v>
      </c>
      <c r="V28" s="610" t="str">
        <f>'3 TASE'!I50</f>
        <v>Ennuste 1</v>
      </c>
      <c r="W28" s="610" t="str">
        <f>'3 TASE'!J50</f>
        <v>Ennuste 2</v>
      </c>
      <c r="X28" s="610" t="str">
        <f>'3 TASE'!K50</f>
        <v>Ennuste 3</v>
      </c>
      <c r="Y28" s="610" t="str">
        <f>'3 TASE'!L50</f>
        <v>Ennuste 4</v>
      </c>
      <c r="AA28" s="630"/>
      <c r="AB28" s="1117"/>
      <c r="AC28" s="1117"/>
      <c r="AD28" s="1117"/>
      <c r="AE28" s="1118" t="str">
        <f>'4 LAINAT'!G8</f>
        <v>Ennuste 1</v>
      </c>
      <c r="AF28" s="1119"/>
      <c r="AG28" s="1119"/>
      <c r="AH28" s="1118" t="str">
        <f>'4 LAINAT'!J8</f>
        <v>Ennuste 2</v>
      </c>
      <c r="AI28" s="1119"/>
      <c r="AJ28" s="1120"/>
      <c r="AK28" s="1118" t="str">
        <f>'4 LAINAT'!M8</f>
        <v>Ennuste 3</v>
      </c>
      <c r="AL28" s="1119"/>
      <c r="AM28" s="1120"/>
      <c r="AN28" s="1119" t="str">
        <f>'4 LAINAT'!P8</f>
        <v>Ennuste 4</v>
      </c>
      <c r="AO28" s="1119"/>
      <c r="AP28" s="1120"/>
    </row>
    <row r="29" spans="3:50" x14ac:dyDescent="0.3">
      <c r="C29" s="593" t="s">
        <v>795</v>
      </c>
      <c r="D29" s="594"/>
      <c r="E29" s="593">
        <f>'1 INVESTOINTISUUNNITELMA'!E45</f>
        <v>2026</v>
      </c>
      <c r="F29" s="593">
        <f>'1 INVESTOINTISUUNNITELMA'!F45</f>
        <v>2027</v>
      </c>
      <c r="G29" s="593">
        <f>'1 INVESTOINTISUUNNITELMA'!G45</f>
        <v>2028</v>
      </c>
      <c r="H29" s="593">
        <f>'1 INVESTOINTISUUNNITELMA'!H45</f>
        <v>2029</v>
      </c>
      <c r="I29" s="598" t="s">
        <v>794</v>
      </c>
      <c r="J29" s="1138"/>
      <c r="K29" s="1139"/>
      <c r="L29" s="1139"/>
      <c r="M29" s="1139"/>
      <c r="N29" s="1139"/>
      <c r="O29" s="1139"/>
      <c r="P29" s="1140"/>
      <c r="R29" s="593" t="s">
        <v>807</v>
      </c>
      <c r="S29" s="615"/>
      <c r="T29" s="598">
        <f>'3 TASE'!G51</f>
        <v>2024</v>
      </c>
      <c r="U29" s="598">
        <f>'3 TASE'!H51</f>
        <v>2025</v>
      </c>
      <c r="V29" s="598">
        <f>'3 TASE'!I51</f>
        <v>2026</v>
      </c>
      <c r="W29" s="598">
        <f>'3 TASE'!J51</f>
        <v>2027</v>
      </c>
      <c r="X29" s="598">
        <f>'3 TASE'!K51</f>
        <v>2028</v>
      </c>
      <c r="Y29" s="598">
        <f>'3 TASE'!L51</f>
        <v>2029</v>
      </c>
      <c r="AA29" s="595" t="s">
        <v>857</v>
      </c>
      <c r="AB29" s="1117"/>
      <c r="AC29" s="1117"/>
      <c r="AD29" s="1117"/>
      <c r="AE29" s="1121">
        <f>'4 LAINAT'!G9</f>
        <v>2026</v>
      </c>
      <c r="AF29" s="1122"/>
      <c r="AG29" s="1122"/>
      <c r="AH29" s="1121">
        <f>'4 LAINAT'!J9</f>
        <v>2027</v>
      </c>
      <c r="AI29" s="1122"/>
      <c r="AJ29" s="1123"/>
      <c r="AK29" s="1121">
        <f>'4 LAINAT'!M9</f>
        <v>2028</v>
      </c>
      <c r="AL29" s="1122"/>
      <c r="AM29" s="1123"/>
      <c r="AN29" s="1122">
        <f>'4 LAINAT'!P9</f>
        <v>2029</v>
      </c>
      <c r="AO29" s="1122"/>
      <c r="AP29" s="1123"/>
    </row>
    <row r="30" spans="3:50" ht="12" customHeight="1" x14ac:dyDescent="0.3">
      <c r="C30" s="586" t="s">
        <v>427</v>
      </c>
      <c r="D30" s="583"/>
      <c r="E30" s="599">
        <f>'1 INVESTOINTISUUNNITELMA'!E46/1000</f>
        <v>0</v>
      </c>
      <c r="F30" s="599">
        <f>'1 INVESTOINTISUUNNITELMA'!F46/1000</f>
        <v>0</v>
      </c>
      <c r="G30" s="599">
        <f>'1 INVESTOINTISUUNNITELMA'!G46/1000</f>
        <v>0</v>
      </c>
      <c r="H30" s="599">
        <f>'1 INVESTOINTISUUNNITELMA'!H46/1000</f>
        <v>0</v>
      </c>
      <c r="I30" s="599">
        <f>SUM(E30:H30)</f>
        <v>0</v>
      </c>
      <c r="J30" s="967" t="s">
        <v>839</v>
      </c>
      <c r="K30" s="976"/>
      <c r="L30" s="976"/>
      <c r="M30" s="976"/>
      <c r="N30" s="976"/>
      <c r="O30" s="976"/>
      <c r="P30" s="977"/>
      <c r="R30" s="611" t="s">
        <v>251</v>
      </c>
      <c r="S30" s="612"/>
      <c r="T30" s="581">
        <f>'3 TASE'!G53/1000</f>
        <v>0</v>
      </c>
      <c r="U30" s="581">
        <f>'3 TASE'!H53/1000</f>
        <v>0</v>
      </c>
      <c r="V30" s="581">
        <f>'3 TASE'!I53/1000</f>
        <v>0</v>
      </c>
      <c r="W30" s="581">
        <f>'3 TASE'!J53/1000</f>
        <v>0</v>
      </c>
      <c r="X30" s="581">
        <f>'3 TASE'!K53/1000</f>
        <v>0</v>
      </c>
      <c r="Y30" s="581">
        <f>'3 TASE'!L53/1000</f>
        <v>0</v>
      </c>
      <c r="AA30" s="633" t="str">
        <f>'4 LAINAT'!C10</f>
        <v>Luotonantaja</v>
      </c>
      <c r="AB30" s="1117"/>
      <c r="AC30" s="1117"/>
      <c r="AD30" s="1117"/>
      <c r="AE30" s="1128" t="s">
        <v>568</v>
      </c>
      <c r="AF30" s="1128"/>
      <c r="AG30" s="631" t="s">
        <v>163</v>
      </c>
      <c r="AH30" s="1128" t="s">
        <v>568</v>
      </c>
      <c r="AI30" s="1128"/>
      <c r="AJ30" s="631" t="s">
        <v>163</v>
      </c>
      <c r="AK30" s="1128" t="s">
        <v>568</v>
      </c>
      <c r="AL30" s="1128"/>
      <c r="AM30" s="631" t="s">
        <v>163</v>
      </c>
      <c r="AN30" s="1128" t="s">
        <v>568</v>
      </c>
      <c r="AO30" s="1128"/>
      <c r="AP30" s="631" t="s">
        <v>163</v>
      </c>
    </row>
    <row r="31" spans="3:50" x14ac:dyDescent="0.3">
      <c r="C31" s="587" t="s">
        <v>292</v>
      </c>
      <c r="D31" s="588" t="s">
        <v>796</v>
      </c>
      <c r="E31" s="600"/>
      <c r="F31" s="600"/>
      <c r="G31" s="600"/>
      <c r="H31" s="600"/>
      <c r="I31" s="601"/>
      <c r="J31" s="978"/>
      <c r="K31" s="979"/>
      <c r="L31" s="979"/>
      <c r="M31" s="979"/>
      <c r="N31" s="979"/>
      <c r="O31" s="979"/>
      <c r="P31" s="980"/>
      <c r="R31" s="576"/>
      <c r="S31" s="577" t="s">
        <v>254</v>
      </c>
      <c r="T31" s="578">
        <f>'3 TASE'!G54/1000</f>
        <v>0</v>
      </c>
      <c r="U31" s="578">
        <f>'3 TASE'!H54/1000</f>
        <v>0</v>
      </c>
      <c r="V31" s="578">
        <f>'3 TASE'!I54/1000</f>
        <v>0</v>
      </c>
      <c r="W31" s="578">
        <f>'3 TASE'!J54/1000</f>
        <v>0</v>
      </c>
      <c r="X31" s="578">
        <f>'3 TASE'!K54/1000</f>
        <v>0</v>
      </c>
      <c r="Y31" s="578">
        <f>'3 TASE'!L54/1000</f>
        <v>0</v>
      </c>
      <c r="AA31" s="632" t="str">
        <f>'4 LAINAT'!C11</f>
        <v>Rahoittaja/rahoitettava kohde</v>
      </c>
      <c r="AB31" s="578">
        <f>'4 LAINAT'!D11/1000</f>
        <v>0</v>
      </c>
      <c r="AC31" s="580">
        <f>'4 LAINAT'!E11</f>
        <v>0</v>
      </c>
      <c r="AD31" s="635">
        <f>'4 LAINAT'!F11</f>
        <v>0</v>
      </c>
      <c r="AE31" s="1126">
        <f>'4 LAINAT'!G11/1000</f>
        <v>0</v>
      </c>
      <c r="AF31" s="1127"/>
      <c r="AG31" s="578">
        <f>'4 LAINAT'!I11/1000</f>
        <v>0</v>
      </c>
      <c r="AH31" s="1126">
        <f>'4 LAINAT'!J11/1000</f>
        <v>0</v>
      </c>
      <c r="AI31" s="1127"/>
      <c r="AJ31" s="578">
        <f>'4 LAINAT'!L11/1000</f>
        <v>0</v>
      </c>
      <c r="AK31" s="1126">
        <f>'4 LAINAT'!M11/1000</f>
        <v>0</v>
      </c>
      <c r="AL31" s="1127"/>
      <c r="AM31" s="578">
        <f>'4 LAINAT'!O11/1000</f>
        <v>0</v>
      </c>
      <c r="AN31" s="1126">
        <f>'4 LAINAT'!P11/1000</f>
        <v>0</v>
      </c>
      <c r="AO31" s="1127"/>
      <c r="AP31" s="578">
        <f>'4 LAINAT'!R11/1000</f>
        <v>0</v>
      </c>
    </row>
    <row r="32" spans="3:50" x14ac:dyDescent="0.3">
      <c r="C32" s="576"/>
      <c r="D32" s="577" t="s">
        <v>428</v>
      </c>
      <c r="E32" s="578">
        <f>'1 INVESTOINTISUUNNITELMA'!E48/1000</f>
        <v>0</v>
      </c>
      <c r="F32" s="578">
        <f>'1 INVESTOINTISUUNNITELMA'!F48/1000</f>
        <v>0</v>
      </c>
      <c r="G32" s="578">
        <f>'1 INVESTOINTISUUNNITELMA'!G48/1000</f>
        <v>0</v>
      </c>
      <c r="H32" s="578">
        <f>'1 INVESTOINTISUUNNITELMA'!H48/1000</f>
        <v>0</v>
      </c>
      <c r="I32" s="581">
        <f t="shared" ref="I32:I46" si="3">SUM(E32:H32)</f>
        <v>0</v>
      </c>
      <c r="J32" s="978"/>
      <c r="K32" s="979"/>
      <c r="L32" s="979"/>
      <c r="M32" s="979"/>
      <c r="N32" s="979"/>
      <c r="O32" s="979"/>
      <c r="P32" s="980"/>
      <c r="R32" s="576"/>
      <c r="S32" s="577" t="s">
        <v>252</v>
      </c>
      <c r="T32" s="578">
        <f>'3 TASE'!G55/1000</f>
        <v>0</v>
      </c>
      <c r="U32" s="578">
        <f>'3 TASE'!H55/1000</f>
        <v>0</v>
      </c>
      <c r="V32" s="578">
        <f>'3 TASE'!I55/1000</f>
        <v>0</v>
      </c>
      <c r="W32" s="578">
        <f>'3 TASE'!J55/1000</f>
        <v>0</v>
      </c>
      <c r="X32" s="578">
        <f>'3 TASE'!K55/1000</f>
        <v>0</v>
      </c>
      <c r="Y32" s="578">
        <f>'3 TASE'!L55/1000</f>
        <v>0</v>
      </c>
      <c r="AA32" s="632">
        <f>'4 LAINAT'!C12</f>
        <v>0</v>
      </c>
      <c r="AB32" s="578">
        <f>'4 LAINAT'!D12/1000</f>
        <v>0</v>
      </c>
      <c r="AC32" s="580">
        <f>'4 LAINAT'!E12</f>
        <v>0</v>
      </c>
      <c r="AD32" s="635">
        <f>'4 LAINAT'!F12</f>
        <v>0</v>
      </c>
      <c r="AE32" s="1126">
        <f>'4 LAINAT'!G12/1000</f>
        <v>0</v>
      </c>
      <c r="AF32" s="1127"/>
      <c r="AG32" s="578">
        <f>'4 LAINAT'!I12/1000</f>
        <v>0</v>
      </c>
      <c r="AH32" s="1126">
        <f>'4 LAINAT'!J12/1000</f>
        <v>0</v>
      </c>
      <c r="AI32" s="1127"/>
      <c r="AJ32" s="578">
        <f>'4 LAINAT'!L12/1000</f>
        <v>0</v>
      </c>
      <c r="AK32" s="1126">
        <f>'4 LAINAT'!M12/1000</f>
        <v>0</v>
      </c>
      <c r="AL32" s="1127"/>
      <c r="AM32" s="578">
        <f>'4 LAINAT'!O12/1000</f>
        <v>0</v>
      </c>
      <c r="AN32" s="1126">
        <f>'4 LAINAT'!P12/1000</f>
        <v>0</v>
      </c>
      <c r="AO32" s="1127"/>
      <c r="AP32" s="578">
        <f>'4 LAINAT'!R12/1000</f>
        <v>0</v>
      </c>
    </row>
    <row r="33" spans="3:42" x14ac:dyDescent="0.3">
      <c r="C33" s="576"/>
      <c r="D33" s="577" t="s">
        <v>429</v>
      </c>
      <c r="E33" s="578">
        <f>'1 INVESTOINTISUUNNITELMA'!E49/1000</f>
        <v>0</v>
      </c>
      <c r="F33" s="578">
        <f>'1 INVESTOINTISUUNNITELMA'!F49/1000</f>
        <v>0</v>
      </c>
      <c r="G33" s="578">
        <f>'1 INVESTOINTISUUNNITELMA'!G49/1000</f>
        <v>0</v>
      </c>
      <c r="H33" s="578">
        <f>'1 INVESTOINTISUUNNITELMA'!H49/1000</f>
        <v>0</v>
      </c>
      <c r="I33" s="581">
        <f t="shared" si="3"/>
        <v>0</v>
      </c>
      <c r="J33" s="978"/>
      <c r="K33" s="979"/>
      <c r="L33" s="979"/>
      <c r="M33" s="979"/>
      <c r="N33" s="979"/>
      <c r="O33" s="979"/>
      <c r="P33" s="980"/>
      <c r="R33" s="576"/>
      <c r="S33" s="577" t="s">
        <v>253</v>
      </c>
      <c r="T33" s="578">
        <f>'3 TASE'!G56/1000</f>
        <v>0</v>
      </c>
      <c r="U33" s="578">
        <f>'3 TASE'!H56/1000</f>
        <v>0</v>
      </c>
      <c r="V33" s="578">
        <f>'3 TASE'!I56/1000</f>
        <v>0</v>
      </c>
      <c r="W33" s="578">
        <f>'3 TASE'!J56/1000</f>
        <v>0</v>
      </c>
      <c r="X33" s="578">
        <f>'3 TASE'!K56/1000</f>
        <v>0</v>
      </c>
      <c r="Y33" s="578">
        <f>'3 TASE'!L56/1000</f>
        <v>0</v>
      </c>
      <c r="AA33" s="632">
        <f>'4 LAINAT'!C13</f>
        <v>0</v>
      </c>
      <c r="AB33" s="578">
        <f>'4 LAINAT'!D13/1000</f>
        <v>0</v>
      </c>
      <c r="AC33" s="580">
        <f>'4 LAINAT'!E13</f>
        <v>0</v>
      </c>
      <c r="AD33" s="635">
        <f>'4 LAINAT'!F13</f>
        <v>0</v>
      </c>
      <c r="AE33" s="1126">
        <f>'4 LAINAT'!G13/1000</f>
        <v>0</v>
      </c>
      <c r="AF33" s="1127"/>
      <c r="AG33" s="578">
        <f>'4 LAINAT'!I13/1000</f>
        <v>0</v>
      </c>
      <c r="AH33" s="1126">
        <f>'4 LAINAT'!J13/1000</f>
        <v>0</v>
      </c>
      <c r="AI33" s="1127"/>
      <c r="AJ33" s="578">
        <f>'4 LAINAT'!L13/1000</f>
        <v>0</v>
      </c>
      <c r="AK33" s="1126">
        <f>'4 LAINAT'!M13/1000</f>
        <v>0</v>
      </c>
      <c r="AL33" s="1127"/>
      <c r="AM33" s="578">
        <f>'4 LAINAT'!O13/1000</f>
        <v>0</v>
      </c>
      <c r="AN33" s="1126">
        <f>'4 LAINAT'!P13/1000</f>
        <v>0</v>
      </c>
      <c r="AO33" s="1127"/>
      <c r="AP33" s="578">
        <f>'4 LAINAT'!R13/1000</f>
        <v>0</v>
      </c>
    </row>
    <row r="34" spans="3:42" x14ac:dyDescent="0.3">
      <c r="C34" s="576" t="s">
        <v>297</v>
      </c>
      <c r="D34" s="577" t="s">
        <v>430</v>
      </c>
      <c r="E34" s="578">
        <f>'1 INVESTOINTISUUNNITELMA'!E50/1000</f>
        <v>0</v>
      </c>
      <c r="F34" s="578">
        <f>'1 INVESTOINTISUUNNITELMA'!F50/1000</f>
        <v>0</v>
      </c>
      <c r="G34" s="578">
        <f>'1 INVESTOINTISUUNNITELMA'!G50/1000</f>
        <v>0</v>
      </c>
      <c r="H34" s="578">
        <f>'1 INVESTOINTISUUNNITELMA'!H50/1000</f>
        <v>0</v>
      </c>
      <c r="I34" s="581">
        <f t="shared" si="3"/>
        <v>0</v>
      </c>
      <c r="J34" s="978"/>
      <c r="K34" s="979"/>
      <c r="L34" s="979"/>
      <c r="M34" s="979"/>
      <c r="N34" s="979"/>
      <c r="O34" s="979"/>
      <c r="P34" s="980"/>
      <c r="R34" s="576"/>
      <c r="S34" s="577" t="s">
        <v>255</v>
      </c>
      <c r="T34" s="578">
        <f>'3 TASE'!G57/1000</f>
        <v>0</v>
      </c>
      <c r="U34" s="578">
        <f>'3 TASE'!H57/1000</f>
        <v>0</v>
      </c>
      <c r="V34" s="578">
        <f>'3 TASE'!I57/1000</f>
        <v>0</v>
      </c>
      <c r="W34" s="578">
        <f>'3 TASE'!J57/1000</f>
        <v>0</v>
      </c>
      <c r="X34" s="578">
        <f>'3 TASE'!K57/1000</f>
        <v>0</v>
      </c>
      <c r="Y34" s="578">
        <f>'3 TASE'!L57/1000</f>
        <v>0</v>
      </c>
      <c r="AA34" s="632">
        <f>'4 LAINAT'!C14</f>
        <v>0</v>
      </c>
      <c r="AB34" s="578">
        <f>'4 LAINAT'!D14/1000</f>
        <v>0</v>
      </c>
      <c r="AC34" s="580">
        <f>'4 LAINAT'!E14</f>
        <v>0</v>
      </c>
      <c r="AD34" s="635">
        <f>'4 LAINAT'!F14</f>
        <v>0</v>
      </c>
      <c r="AE34" s="1126">
        <f>'4 LAINAT'!G14/1000</f>
        <v>0</v>
      </c>
      <c r="AF34" s="1127"/>
      <c r="AG34" s="578">
        <f>'4 LAINAT'!I14/1000</f>
        <v>0</v>
      </c>
      <c r="AH34" s="1126">
        <f>'4 LAINAT'!J14/1000</f>
        <v>0</v>
      </c>
      <c r="AI34" s="1127"/>
      <c r="AJ34" s="578">
        <f>'4 LAINAT'!L14/1000</f>
        <v>0</v>
      </c>
      <c r="AK34" s="1126">
        <f>'4 LAINAT'!M14/1000</f>
        <v>0</v>
      </c>
      <c r="AL34" s="1127"/>
      <c r="AM34" s="578">
        <f>'4 LAINAT'!O14/1000</f>
        <v>0</v>
      </c>
      <c r="AN34" s="1126">
        <f>'4 LAINAT'!P14/1000</f>
        <v>0</v>
      </c>
      <c r="AO34" s="1127"/>
      <c r="AP34" s="578">
        <f>'4 LAINAT'!R14/1000</f>
        <v>0</v>
      </c>
    </row>
    <row r="35" spans="3:42" x14ac:dyDescent="0.3">
      <c r="C35" s="576" t="s">
        <v>299</v>
      </c>
      <c r="D35" s="577" t="s">
        <v>431</v>
      </c>
      <c r="E35" s="578">
        <f>'1 INVESTOINTISUUNNITELMA'!E51/1000</f>
        <v>0</v>
      </c>
      <c r="F35" s="578">
        <f>'1 INVESTOINTISUUNNITELMA'!F51/1000</f>
        <v>0</v>
      </c>
      <c r="G35" s="578">
        <f>'1 INVESTOINTISUUNNITELMA'!G51/1000</f>
        <v>0</v>
      </c>
      <c r="H35" s="578">
        <f>'1 INVESTOINTISUUNNITELMA'!H51/1000</f>
        <v>0</v>
      </c>
      <c r="I35" s="581">
        <f t="shared" si="3"/>
        <v>0</v>
      </c>
      <c r="J35" s="978"/>
      <c r="K35" s="979"/>
      <c r="L35" s="979"/>
      <c r="M35" s="979"/>
      <c r="N35" s="979"/>
      <c r="O35" s="979"/>
      <c r="P35" s="980"/>
      <c r="R35" s="576"/>
      <c r="S35" s="577" t="s">
        <v>650</v>
      </c>
      <c r="T35" s="578">
        <f>'3 TASE'!G58/1000</f>
        <v>0</v>
      </c>
      <c r="U35" s="578">
        <f>'3 TASE'!H58/1000</f>
        <v>0</v>
      </c>
      <c r="V35" s="578">
        <f>'3 TASE'!I58/1000</f>
        <v>0</v>
      </c>
      <c r="W35" s="578">
        <f>'3 TASE'!J58/1000</f>
        <v>0</v>
      </c>
      <c r="X35" s="578">
        <f>'3 TASE'!K58/1000</f>
        <v>0</v>
      </c>
      <c r="Y35" s="578">
        <f>'3 TASE'!L58/1000</f>
        <v>0</v>
      </c>
      <c r="AA35" s="632">
        <f>'4 LAINAT'!C15</f>
        <v>0</v>
      </c>
      <c r="AB35" s="578">
        <f>'4 LAINAT'!D15/1000</f>
        <v>0</v>
      </c>
      <c r="AC35" s="580">
        <f>'4 LAINAT'!E15</f>
        <v>0</v>
      </c>
      <c r="AD35" s="635">
        <f>'4 LAINAT'!F15</f>
        <v>0</v>
      </c>
      <c r="AE35" s="1126">
        <f>'4 LAINAT'!G15/1000</f>
        <v>0</v>
      </c>
      <c r="AF35" s="1127"/>
      <c r="AG35" s="578">
        <f>'4 LAINAT'!I15/1000</f>
        <v>0</v>
      </c>
      <c r="AH35" s="1126">
        <f>'4 LAINAT'!J15/1000</f>
        <v>0</v>
      </c>
      <c r="AI35" s="1127"/>
      <c r="AJ35" s="578">
        <f>'4 LAINAT'!L15/1000</f>
        <v>0</v>
      </c>
      <c r="AK35" s="1126">
        <f>'4 LAINAT'!M15/1000</f>
        <v>0</v>
      </c>
      <c r="AL35" s="1127"/>
      <c r="AM35" s="578">
        <f>'4 LAINAT'!O15/1000</f>
        <v>0</v>
      </c>
      <c r="AN35" s="1126">
        <f>'4 LAINAT'!P15/1000</f>
        <v>0</v>
      </c>
      <c r="AO35" s="1127"/>
      <c r="AP35" s="578">
        <f>'4 LAINAT'!R15/1000</f>
        <v>0</v>
      </c>
    </row>
    <row r="36" spans="3:42" x14ac:dyDescent="0.3">
      <c r="C36" s="576" t="s">
        <v>300</v>
      </c>
      <c r="D36" s="577" t="str">
        <f>'1 INVESTOINTISUUNNITELMA'!D52</f>
        <v>Muu oma rahoitus</v>
      </c>
      <c r="E36" s="578">
        <f>'1 INVESTOINTISUUNNITELMA'!E52/1000</f>
        <v>0</v>
      </c>
      <c r="F36" s="578">
        <f>'1 INVESTOINTISUUNNITELMA'!F52/1000</f>
        <v>0</v>
      </c>
      <c r="G36" s="578">
        <f>'1 INVESTOINTISUUNNITELMA'!G52/1000</f>
        <v>0</v>
      </c>
      <c r="H36" s="578">
        <f>'1 INVESTOINTISUUNNITELMA'!H52/1000</f>
        <v>0</v>
      </c>
      <c r="I36" s="581">
        <f t="shared" si="3"/>
        <v>0</v>
      </c>
      <c r="J36" s="978"/>
      <c r="K36" s="979"/>
      <c r="L36" s="979"/>
      <c r="M36" s="979"/>
      <c r="N36" s="979"/>
      <c r="O36" s="979"/>
      <c r="P36" s="980"/>
      <c r="R36" s="611" t="s">
        <v>808</v>
      </c>
      <c r="S36" s="612" t="s">
        <v>809</v>
      </c>
      <c r="T36" s="581">
        <f>'3 TASE'!G59/1000</f>
        <v>0</v>
      </c>
      <c r="U36" s="581">
        <f>'3 TASE'!H59/1000</f>
        <v>0</v>
      </c>
      <c r="V36" s="581">
        <f>'3 TASE'!I59/1000</f>
        <v>0</v>
      </c>
      <c r="W36" s="581">
        <f>'3 TASE'!J59/1000</f>
        <v>0</v>
      </c>
      <c r="X36" s="581">
        <f>'3 TASE'!K59/1000</f>
        <v>0</v>
      </c>
      <c r="Y36" s="581">
        <f>'3 TASE'!L59/1000</f>
        <v>0</v>
      </c>
      <c r="AA36" s="632">
        <f>'4 LAINAT'!C16</f>
        <v>0</v>
      </c>
      <c r="AB36" s="578">
        <f>'4 LAINAT'!D16/1000</f>
        <v>0</v>
      </c>
      <c r="AC36" s="580">
        <f>'4 LAINAT'!E16</f>
        <v>0</v>
      </c>
      <c r="AD36" s="635">
        <f>'4 LAINAT'!F16</f>
        <v>0</v>
      </c>
      <c r="AE36" s="1126">
        <f>'4 LAINAT'!G16/1000</f>
        <v>0</v>
      </c>
      <c r="AF36" s="1127"/>
      <c r="AG36" s="578">
        <f>'4 LAINAT'!I16/1000</f>
        <v>0</v>
      </c>
      <c r="AH36" s="1126">
        <f>'4 LAINAT'!J16/1000</f>
        <v>0</v>
      </c>
      <c r="AI36" s="1127"/>
      <c r="AJ36" s="578">
        <f>'4 LAINAT'!L16/1000</f>
        <v>0</v>
      </c>
      <c r="AK36" s="1126">
        <f>'4 LAINAT'!M16/1000</f>
        <v>0</v>
      </c>
      <c r="AL36" s="1127"/>
      <c r="AM36" s="578">
        <f>'4 LAINAT'!O16/1000</f>
        <v>0</v>
      </c>
      <c r="AN36" s="1126">
        <f>'4 LAINAT'!P16/1000</f>
        <v>0</v>
      </c>
      <c r="AO36" s="1127"/>
      <c r="AP36" s="578">
        <f>'4 LAINAT'!R16/1000</f>
        <v>0</v>
      </c>
    </row>
    <row r="37" spans="3:42" x14ac:dyDescent="0.3">
      <c r="C37" s="586" t="s">
        <v>433</v>
      </c>
      <c r="D37" s="590"/>
      <c r="E37" s="599">
        <f>'1 INVESTOINTISUUNNITELMA'!E53/1000</f>
        <v>0</v>
      </c>
      <c r="F37" s="599">
        <f>'1 INVESTOINTISUUNNITELMA'!F53/1000</f>
        <v>0</v>
      </c>
      <c r="G37" s="599">
        <f>'1 INVESTOINTISUUNNITELMA'!G53/1000</f>
        <v>0</v>
      </c>
      <c r="H37" s="599">
        <f>'1 INVESTOINTISUUNNITELMA'!H53/1000</f>
        <v>0</v>
      </c>
      <c r="I37" s="599">
        <f t="shared" si="3"/>
        <v>0</v>
      </c>
      <c r="J37" s="978"/>
      <c r="K37" s="979"/>
      <c r="L37" s="979"/>
      <c r="M37" s="979"/>
      <c r="N37" s="979"/>
      <c r="O37" s="979"/>
      <c r="P37" s="980"/>
      <c r="R37" s="611" t="s">
        <v>811</v>
      </c>
      <c r="S37" s="612" t="s">
        <v>810</v>
      </c>
      <c r="T37" s="581">
        <f>'3 TASE'!G63/1000</f>
        <v>0</v>
      </c>
      <c r="U37" s="581">
        <f>'3 TASE'!H63/1000</f>
        <v>0</v>
      </c>
      <c r="V37" s="581">
        <f>'3 TASE'!I63/1000</f>
        <v>0</v>
      </c>
      <c r="W37" s="581">
        <f>'3 TASE'!J63/1000</f>
        <v>0</v>
      </c>
      <c r="X37" s="581">
        <f>'3 TASE'!K63/1000</f>
        <v>0</v>
      </c>
      <c r="Y37" s="581">
        <f>'3 TASE'!L63/1000</f>
        <v>0</v>
      </c>
      <c r="AA37" s="632">
        <f>'4 LAINAT'!C17</f>
        <v>0</v>
      </c>
      <c r="AB37" s="578">
        <f>'4 LAINAT'!D17/1000</f>
        <v>0</v>
      </c>
      <c r="AC37" s="580">
        <f>'4 LAINAT'!E17</f>
        <v>0</v>
      </c>
      <c r="AD37" s="635">
        <f>'4 LAINAT'!F17</f>
        <v>0</v>
      </c>
      <c r="AE37" s="1126">
        <f>'4 LAINAT'!G17/1000</f>
        <v>0</v>
      </c>
      <c r="AF37" s="1127"/>
      <c r="AG37" s="578">
        <f>'4 LAINAT'!I17/1000</f>
        <v>0</v>
      </c>
      <c r="AH37" s="1126">
        <f>'4 LAINAT'!J17/1000</f>
        <v>0</v>
      </c>
      <c r="AI37" s="1127"/>
      <c r="AJ37" s="578">
        <f>'4 LAINAT'!L17/1000</f>
        <v>0</v>
      </c>
      <c r="AK37" s="1126">
        <f>'4 LAINAT'!M17/1000</f>
        <v>0</v>
      </c>
      <c r="AL37" s="1127"/>
      <c r="AM37" s="578">
        <f>'4 LAINAT'!O17/1000</f>
        <v>0</v>
      </c>
      <c r="AN37" s="1126">
        <f>'4 LAINAT'!P17/1000</f>
        <v>0</v>
      </c>
      <c r="AO37" s="1127"/>
      <c r="AP37" s="578">
        <f>'4 LAINAT'!R17/1000</f>
        <v>0</v>
      </c>
    </row>
    <row r="38" spans="3:42" x14ac:dyDescent="0.3">
      <c r="C38" s="589"/>
      <c r="D38" s="584" t="s">
        <v>622</v>
      </c>
      <c r="E38" s="600"/>
      <c r="F38" s="600"/>
      <c r="G38" s="600"/>
      <c r="H38" s="600"/>
      <c r="I38" s="600"/>
      <c r="J38" s="978"/>
      <c r="K38" s="979"/>
      <c r="L38" s="979"/>
      <c r="M38" s="979"/>
      <c r="N38" s="979"/>
      <c r="O38" s="979"/>
      <c r="P38" s="980"/>
      <c r="R38" s="611" t="s">
        <v>812</v>
      </c>
      <c r="S38" s="612" t="s">
        <v>813</v>
      </c>
      <c r="T38" s="581">
        <f>'3 TASE'!G64/1000</f>
        <v>0</v>
      </c>
      <c r="U38" s="581">
        <f>'3 TASE'!H64/1000</f>
        <v>0</v>
      </c>
      <c r="V38" s="581">
        <f>'3 TASE'!I64/1000</f>
        <v>0</v>
      </c>
      <c r="W38" s="581">
        <f>'3 TASE'!J64/1000</f>
        <v>0</v>
      </c>
      <c r="X38" s="581">
        <f>'3 TASE'!K64/1000</f>
        <v>0</v>
      </c>
      <c r="Y38" s="581">
        <f>'3 TASE'!L64/1000</f>
        <v>0</v>
      </c>
      <c r="AA38" s="632" t="str">
        <f>'4 LAINAT'!C18</f>
        <v>Luotollinen tili</v>
      </c>
      <c r="AB38" s="578">
        <f>'4 LAINAT'!D18/1000</f>
        <v>0</v>
      </c>
      <c r="AC38" s="580">
        <f>'4 LAINAT'!E18</f>
        <v>0</v>
      </c>
      <c r="AD38" s="635">
        <f>'4 LAINAT'!F18</f>
        <v>0</v>
      </c>
      <c r="AE38" s="1126">
        <f>'4 LAINAT'!G18/1000</f>
        <v>0</v>
      </c>
      <c r="AF38" s="1127"/>
      <c r="AG38" s="578">
        <f>'4 LAINAT'!I18/1000</f>
        <v>0</v>
      </c>
      <c r="AH38" s="1126">
        <f>'4 LAINAT'!J18/1000</f>
        <v>0</v>
      </c>
      <c r="AI38" s="1127"/>
      <c r="AJ38" s="578">
        <f>'4 LAINAT'!L18/1000</f>
        <v>0</v>
      </c>
      <c r="AK38" s="1126">
        <f>'4 LAINAT'!M18/1000</f>
        <v>0</v>
      </c>
      <c r="AL38" s="1127"/>
      <c r="AM38" s="578">
        <f>'4 LAINAT'!O18/1000</f>
        <v>0</v>
      </c>
      <c r="AN38" s="1126">
        <f>'4 LAINAT'!P18/1000</f>
        <v>0</v>
      </c>
      <c r="AO38" s="1127"/>
      <c r="AP38" s="578">
        <f>'4 LAINAT'!R18/1000</f>
        <v>0</v>
      </c>
    </row>
    <row r="39" spans="3:42" x14ac:dyDescent="0.3">
      <c r="C39" s="589" t="s">
        <v>301</v>
      </c>
      <c r="D39" s="584" t="str">
        <f>'1 INVESTOINTISUUNNITELMA'!D55</f>
        <v>Finnvera</v>
      </c>
      <c r="E39" s="578">
        <f>'1 INVESTOINTISUUNNITELMA'!E55/1000</f>
        <v>0</v>
      </c>
      <c r="F39" s="578">
        <f>'1 INVESTOINTISUUNNITELMA'!F55/1000</f>
        <v>0</v>
      </c>
      <c r="G39" s="578">
        <f>'1 INVESTOINTISUUNNITELMA'!G55/1000</f>
        <v>0</v>
      </c>
      <c r="H39" s="578">
        <f>'1 INVESTOINTISUUNNITELMA'!H55/1000</f>
        <v>0</v>
      </c>
      <c r="I39" s="581">
        <f>SUM(E39:H39)</f>
        <v>0</v>
      </c>
      <c r="J39" s="978"/>
      <c r="K39" s="979"/>
      <c r="L39" s="979"/>
      <c r="M39" s="979"/>
      <c r="N39" s="979"/>
      <c r="O39" s="979"/>
      <c r="P39" s="980"/>
      <c r="R39" s="576"/>
      <c r="S39" s="577" t="s">
        <v>261</v>
      </c>
      <c r="T39" s="578">
        <f>'3 TASE'!G65/1000</f>
        <v>0</v>
      </c>
      <c r="U39" s="578">
        <f>'3 TASE'!H65/1000</f>
        <v>0</v>
      </c>
      <c r="V39" s="578">
        <f>'3 TASE'!I65/1000</f>
        <v>0</v>
      </c>
      <c r="W39" s="578">
        <f>'3 TASE'!J65/1000</f>
        <v>0</v>
      </c>
      <c r="X39" s="578">
        <f>'3 TASE'!K65/1000</f>
        <v>0</v>
      </c>
      <c r="Y39" s="578">
        <f>'3 TASE'!L65/1000</f>
        <v>0</v>
      </c>
      <c r="AA39" s="633" t="s">
        <v>564</v>
      </c>
      <c r="AB39" s="581">
        <f>'4 LAINAT'!D19/1000</f>
        <v>0</v>
      </c>
      <c r="AC39" s="636"/>
      <c r="AD39" s="637"/>
      <c r="AE39" s="1124">
        <f>'4 LAINAT'!G19/1000</f>
        <v>0</v>
      </c>
      <c r="AF39" s="1125"/>
      <c r="AG39" s="581">
        <f>'4 LAINAT'!I19/1000</f>
        <v>0</v>
      </c>
      <c r="AH39" s="1124">
        <f>'4 LAINAT'!J19/1000</f>
        <v>0</v>
      </c>
      <c r="AI39" s="1125"/>
      <c r="AJ39" s="581">
        <f>'4 LAINAT'!L19/1000</f>
        <v>0</v>
      </c>
      <c r="AK39" s="1124">
        <f>'4 LAINAT'!M19/1000</f>
        <v>0</v>
      </c>
      <c r="AL39" s="1125"/>
      <c r="AM39" s="581">
        <f>'4 LAINAT'!O19/1000</f>
        <v>0</v>
      </c>
      <c r="AN39" s="1124">
        <f>'4 LAINAT'!P19/1000</f>
        <v>0</v>
      </c>
      <c r="AO39" s="1125"/>
      <c r="AP39" s="581">
        <f>'4 LAINAT'!R19/1000</f>
        <v>0</v>
      </c>
    </row>
    <row r="40" spans="3:42" x14ac:dyDescent="0.3">
      <c r="C40" s="576" t="s">
        <v>302</v>
      </c>
      <c r="D40" s="577" t="str">
        <f>'1 INVESTOINTISUUNNITELMA'!D56</f>
        <v>Pankki</v>
      </c>
      <c r="E40" s="578">
        <f>'1 INVESTOINTISUUNNITELMA'!E56/1000</f>
        <v>0</v>
      </c>
      <c r="F40" s="578">
        <f>'1 INVESTOINTISUUNNITELMA'!F56/1000</f>
        <v>0</v>
      </c>
      <c r="G40" s="578">
        <f>'1 INVESTOINTISUUNNITELMA'!G56/1000</f>
        <v>0</v>
      </c>
      <c r="H40" s="578">
        <f>'1 INVESTOINTISUUNNITELMA'!H56/1000</f>
        <v>0</v>
      </c>
      <c r="I40" s="581">
        <f t="shared" si="3"/>
        <v>0</v>
      </c>
      <c r="J40" s="978"/>
      <c r="K40" s="979"/>
      <c r="L40" s="979"/>
      <c r="M40" s="979"/>
      <c r="N40" s="979"/>
      <c r="O40" s="979"/>
      <c r="P40" s="980"/>
      <c r="R40" s="576"/>
      <c r="S40" s="577" t="s">
        <v>262</v>
      </c>
      <c r="T40" s="578">
        <f>'3 TASE'!G66/1000</f>
        <v>0</v>
      </c>
      <c r="U40" s="578">
        <f>'3 TASE'!H66/1000</f>
        <v>0</v>
      </c>
      <c r="V40" s="578">
        <f>'3 TASE'!I66/1000</f>
        <v>0</v>
      </c>
      <c r="W40" s="578">
        <f>'3 TASE'!J66/1000</f>
        <v>0</v>
      </c>
      <c r="X40" s="578">
        <f>'3 TASE'!K66/1000</f>
        <v>0</v>
      </c>
      <c r="Y40" s="578">
        <f>'3 TASE'!L66/1000</f>
        <v>0</v>
      </c>
      <c r="AA40" s="609" t="s">
        <v>565</v>
      </c>
      <c r="AB40" s="581">
        <f>'4 LAINAT'!D20/1000</f>
        <v>0</v>
      </c>
      <c r="AC40" s="609">
        <f>'4 LAINAT'!E20</f>
        <v>0</v>
      </c>
      <c r="AD40" s="638">
        <f>'4 LAINAT'!F20</f>
        <v>0</v>
      </c>
      <c r="AE40" s="1124">
        <f>'4 LAINAT'!G20/1000</f>
        <v>0</v>
      </c>
      <c r="AF40" s="1125"/>
      <c r="AG40" s="581">
        <f>'4 LAINAT'!I20/1000</f>
        <v>0</v>
      </c>
      <c r="AH40" s="1124">
        <f>'4 LAINAT'!J20/1000</f>
        <v>0</v>
      </c>
      <c r="AI40" s="1125"/>
      <c r="AJ40" s="581">
        <f>'4 LAINAT'!L20/1000</f>
        <v>0</v>
      </c>
      <c r="AK40" s="1124">
        <f>'4 LAINAT'!M20/1000</f>
        <v>0</v>
      </c>
      <c r="AL40" s="1125"/>
      <c r="AM40" s="581">
        <f>'4 LAINAT'!O20/1000</f>
        <v>0</v>
      </c>
      <c r="AN40" s="1124">
        <f>'4 LAINAT'!P20/1000</f>
        <v>0</v>
      </c>
      <c r="AO40" s="1125"/>
      <c r="AP40" s="581">
        <f>'4 LAINAT'!R20/1000</f>
        <v>0</v>
      </c>
    </row>
    <row r="41" spans="3:42" x14ac:dyDescent="0.3">
      <c r="C41" s="576" t="s">
        <v>303</v>
      </c>
      <c r="D41" s="577" t="str">
        <f>'1 INVESTOINTISUUNNITELMA'!D57</f>
        <v>Osamaksurahoitus, eläkelaina tms.</v>
      </c>
      <c r="E41" s="578">
        <f>'1 INVESTOINTISUUNNITELMA'!E57/1000</f>
        <v>0</v>
      </c>
      <c r="F41" s="578">
        <f>'1 INVESTOINTISUUNNITELMA'!F57/1000</f>
        <v>0</v>
      </c>
      <c r="G41" s="578">
        <f>'1 INVESTOINTISUUNNITELMA'!G57/1000</f>
        <v>0</v>
      </c>
      <c r="H41" s="578">
        <f>'1 INVESTOINTISUUNNITELMA'!H57/1000</f>
        <v>0</v>
      </c>
      <c r="I41" s="581">
        <f t="shared" si="3"/>
        <v>0</v>
      </c>
      <c r="J41" s="978"/>
      <c r="K41" s="979"/>
      <c r="L41" s="979"/>
      <c r="M41" s="979"/>
      <c r="N41" s="979"/>
      <c r="O41" s="979"/>
      <c r="P41" s="980"/>
      <c r="R41" s="576"/>
      <c r="S41" s="577" t="s">
        <v>264</v>
      </c>
      <c r="T41" s="578">
        <f>'3 TASE'!G67/1000</f>
        <v>0</v>
      </c>
      <c r="U41" s="578">
        <f>'3 TASE'!H67/1000</f>
        <v>0</v>
      </c>
      <c r="V41" s="578">
        <f>'3 TASE'!I67/1000</f>
        <v>0</v>
      </c>
      <c r="W41" s="578">
        <f>'3 TASE'!J67/1000</f>
        <v>0</v>
      </c>
      <c r="X41" s="578">
        <f>'3 TASE'!K67/1000</f>
        <v>0</v>
      </c>
      <c r="Y41" s="578">
        <f>'3 TASE'!L67/1000</f>
        <v>0</v>
      </c>
      <c r="AE41" s="634"/>
      <c r="AF41" s="634"/>
      <c r="AH41" s="634"/>
      <c r="AI41" s="634"/>
      <c r="AK41" s="634"/>
      <c r="AL41" s="634"/>
      <c r="AN41" s="634"/>
      <c r="AO41" s="634"/>
    </row>
    <row r="42" spans="3:42" x14ac:dyDescent="0.3">
      <c r="C42" s="576" t="s">
        <v>304</v>
      </c>
      <c r="D42" s="577" t="s">
        <v>438</v>
      </c>
      <c r="E42" s="578">
        <f>'1 INVESTOINTISUUNNITELMA'!E58/1000</f>
        <v>0</v>
      </c>
      <c r="F42" s="578">
        <f>'1 INVESTOINTISUUNNITELMA'!F58/1000</f>
        <v>0</v>
      </c>
      <c r="G42" s="578">
        <f>'1 INVESTOINTISUUNNITELMA'!G58/1000</f>
        <v>0</v>
      </c>
      <c r="H42" s="578">
        <f>'1 INVESTOINTISUUNNITELMA'!H58/1000</f>
        <v>0</v>
      </c>
      <c r="I42" s="581">
        <f t="shared" si="3"/>
        <v>0</v>
      </c>
      <c r="J42" s="978"/>
      <c r="K42" s="979"/>
      <c r="L42" s="979"/>
      <c r="M42" s="979"/>
      <c r="N42" s="979"/>
      <c r="O42" s="979"/>
      <c r="P42" s="980"/>
      <c r="R42" s="576"/>
      <c r="S42" s="577" t="s">
        <v>263</v>
      </c>
      <c r="T42" s="578">
        <f>'3 TASE'!G68/1000</f>
        <v>0</v>
      </c>
      <c r="U42" s="578">
        <f>'3 TASE'!H68/1000</f>
        <v>0</v>
      </c>
      <c r="V42" s="578">
        <f>'3 TASE'!I68/1000</f>
        <v>0</v>
      </c>
      <c r="W42" s="578">
        <f>'3 TASE'!J68/1000</f>
        <v>0</v>
      </c>
      <c r="X42" s="578">
        <f>'3 TASE'!K68/1000</f>
        <v>0</v>
      </c>
      <c r="Y42" s="578">
        <f>'3 TASE'!L68/1000</f>
        <v>0</v>
      </c>
      <c r="AA42" s="597"/>
      <c r="AB42" s="1117" t="s">
        <v>859</v>
      </c>
      <c r="AC42" s="1117" t="s">
        <v>860</v>
      </c>
      <c r="AD42" s="1117" t="s">
        <v>567</v>
      </c>
    </row>
    <row r="43" spans="3:42" x14ac:dyDescent="0.3">
      <c r="C43" s="576" t="s">
        <v>305</v>
      </c>
      <c r="D43" s="577" t="s">
        <v>439</v>
      </c>
      <c r="E43" s="578">
        <f>'1 INVESTOINTISUUNNITELMA'!E59/1000</f>
        <v>0</v>
      </c>
      <c r="F43" s="578">
        <f>'1 INVESTOINTISUUNNITELMA'!F59/1000</f>
        <v>0</v>
      </c>
      <c r="G43" s="578">
        <f>'1 INVESTOINTISUUNNITELMA'!G59/1000</f>
        <v>0</v>
      </c>
      <c r="H43" s="578">
        <f>'1 INVESTOINTISUUNNITELMA'!H59/1000</f>
        <v>0</v>
      </c>
      <c r="I43" s="581">
        <f t="shared" si="3"/>
        <v>0</v>
      </c>
      <c r="J43" s="978"/>
      <c r="K43" s="979"/>
      <c r="L43" s="979"/>
      <c r="M43" s="979"/>
      <c r="N43" s="979"/>
      <c r="O43" s="979"/>
      <c r="P43" s="980"/>
      <c r="R43" s="576"/>
      <c r="S43" s="577" t="s">
        <v>265</v>
      </c>
      <c r="T43" s="578">
        <f>'3 TASE'!G71/1000</f>
        <v>0</v>
      </c>
      <c r="U43" s="578">
        <f>'3 TASE'!H71/1000</f>
        <v>0</v>
      </c>
      <c r="V43" s="578">
        <f>'3 TASE'!I71/1000</f>
        <v>0</v>
      </c>
      <c r="W43" s="578">
        <f>'3 TASE'!J71/1000</f>
        <v>0</v>
      </c>
      <c r="X43" s="578">
        <f>'3 TASE'!K71/1000</f>
        <v>0</v>
      </c>
      <c r="Y43" s="578">
        <f>'3 TASE'!L71/1000</f>
        <v>0</v>
      </c>
      <c r="AA43" s="630"/>
      <c r="AB43" s="1117"/>
      <c r="AC43" s="1117"/>
      <c r="AD43" s="1117"/>
      <c r="AE43" s="1118" t="str">
        <f>'4 LAINAT'!G21</f>
        <v>Ennuste 1</v>
      </c>
      <c r="AF43" s="1119"/>
      <c r="AG43" s="1119"/>
      <c r="AH43" s="1118" t="str">
        <f>'4 LAINAT'!J21</f>
        <v>Ennuste 2</v>
      </c>
      <c r="AI43" s="1119"/>
      <c r="AJ43" s="1119"/>
      <c r="AK43" s="1118" t="str">
        <f>'4 LAINAT'!M21</f>
        <v>Ennuste 3</v>
      </c>
      <c r="AL43" s="1119"/>
      <c r="AM43" s="1119"/>
      <c r="AN43" s="1118" t="str">
        <f>'4 LAINAT'!P21</f>
        <v>Ennuste 4</v>
      </c>
      <c r="AO43" s="1119"/>
      <c r="AP43" s="1120"/>
    </row>
    <row r="44" spans="3:42" x14ac:dyDescent="0.3">
      <c r="C44" s="576" t="s">
        <v>306</v>
      </c>
      <c r="D44" s="577" t="s">
        <v>440</v>
      </c>
      <c r="E44" s="578">
        <f>'1 INVESTOINTISUUNNITELMA'!E60/1000</f>
        <v>0</v>
      </c>
      <c r="F44" s="578">
        <f>'1 INVESTOINTISUUNNITELMA'!F60/1000</f>
        <v>0</v>
      </c>
      <c r="G44" s="578">
        <f>'1 INVESTOINTISUUNNITELMA'!G60/1000</f>
        <v>0</v>
      </c>
      <c r="H44" s="578">
        <f>'1 INVESTOINTISUUNNITELMA'!H60/1000</f>
        <v>0</v>
      </c>
      <c r="I44" s="581">
        <f t="shared" si="3"/>
        <v>0</v>
      </c>
      <c r="J44" s="978"/>
      <c r="K44" s="979"/>
      <c r="L44" s="979"/>
      <c r="M44" s="979"/>
      <c r="N44" s="979"/>
      <c r="O44" s="979"/>
      <c r="P44" s="980"/>
      <c r="R44" s="611" t="s">
        <v>814</v>
      </c>
      <c r="S44" s="612" t="s">
        <v>815</v>
      </c>
      <c r="T44" s="581">
        <f>'3 TASE'!G72/1000</f>
        <v>0</v>
      </c>
      <c r="U44" s="581">
        <f>'3 TASE'!H72/1000</f>
        <v>0</v>
      </c>
      <c r="V44" s="581">
        <f>'3 TASE'!I72/1000</f>
        <v>0</v>
      </c>
      <c r="W44" s="581">
        <f>'3 TASE'!J72/1000</f>
        <v>0</v>
      </c>
      <c r="X44" s="581">
        <f>'3 TASE'!K72/1000</f>
        <v>0</v>
      </c>
      <c r="Y44" s="581">
        <f>'3 TASE'!L72/1000</f>
        <v>0</v>
      </c>
      <c r="AA44" s="595" t="s">
        <v>858</v>
      </c>
      <c r="AB44" s="1117"/>
      <c r="AC44" s="1117"/>
      <c r="AD44" s="1117"/>
      <c r="AE44" s="1121">
        <f>'4 LAINAT'!G22</f>
        <v>2026</v>
      </c>
      <c r="AF44" s="1122"/>
      <c r="AG44" s="1123"/>
      <c r="AH44" s="1121">
        <f>'4 LAINAT'!J22</f>
        <v>2027</v>
      </c>
      <c r="AI44" s="1122"/>
      <c r="AJ44" s="1123"/>
      <c r="AK44" s="1121">
        <f>'4 LAINAT'!M22</f>
        <v>2028</v>
      </c>
      <c r="AL44" s="1122"/>
      <c r="AM44" s="1123"/>
      <c r="AN44" s="1121">
        <f>'4 LAINAT'!P22</f>
        <v>2029</v>
      </c>
      <c r="AO44" s="1122"/>
      <c r="AP44" s="1123"/>
    </row>
    <row r="45" spans="3:42" x14ac:dyDescent="0.3">
      <c r="C45" s="576" t="s">
        <v>307</v>
      </c>
      <c r="D45" s="577" t="s">
        <v>441</v>
      </c>
      <c r="E45" s="578">
        <f>'1 INVESTOINTISUUNNITELMA'!E61/1000</f>
        <v>0</v>
      </c>
      <c r="F45" s="578">
        <f>'1 INVESTOINTISUUNNITELMA'!F61/1000</f>
        <v>0</v>
      </c>
      <c r="G45" s="578">
        <f>'1 INVESTOINTISUUNNITELMA'!G61/1000</f>
        <v>0</v>
      </c>
      <c r="H45" s="578">
        <f>'1 INVESTOINTISUUNNITELMA'!H61/1000</f>
        <v>0</v>
      </c>
      <c r="I45" s="581">
        <f t="shared" si="3"/>
        <v>0</v>
      </c>
      <c r="J45" s="978"/>
      <c r="K45" s="979"/>
      <c r="L45" s="979"/>
      <c r="M45" s="979"/>
      <c r="N45" s="979"/>
      <c r="O45" s="979"/>
      <c r="P45" s="980"/>
      <c r="R45" s="576"/>
      <c r="S45" s="577" t="s">
        <v>261</v>
      </c>
      <c r="T45" s="578">
        <f>'3 TASE'!G73/1000</f>
        <v>0</v>
      </c>
      <c r="U45" s="578">
        <f>'3 TASE'!H73/1000</f>
        <v>0</v>
      </c>
      <c r="V45" s="578">
        <f>'3 TASE'!I73/1000</f>
        <v>0</v>
      </c>
      <c r="W45" s="578">
        <f>'3 TASE'!J73/1000</f>
        <v>0</v>
      </c>
      <c r="X45" s="578">
        <f>'3 TASE'!K73/1000</f>
        <v>0</v>
      </c>
      <c r="Y45" s="578">
        <f>'3 TASE'!L73/1000</f>
        <v>0</v>
      </c>
      <c r="AA45" s="633" t="str">
        <f>'4 LAINAT'!C23</f>
        <v>Luotonantaja</v>
      </c>
      <c r="AB45" s="1117"/>
      <c r="AC45" s="1117"/>
      <c r="AD45" s="1117"/>
      <c r="AE45" s="805" t="s">
        <v>602</v>
      </c>
      <c r="AF45" s="805" t="s">
        <v>861</v>
      </c>
      <c r="AG45" s="805" t="s">
        <v>163</v>
      </c>
      <c r="AH45" s="805" t="s">
        <v>602</v>
      </c>
      <c r="AI45" s="805" t="s">
        <v>861</v>
      </c>
      <c r="AJ45" s="805" t="s">
        <v>163</v>
      </c>
      <c r="AK45" s="805" t="s">
        <v>602</v>
      </c>
      <c r="AL45" s="805" t="s">
        <v>861</v>
      </c>
      <c r="AM45" s="805" t="s">
        <v>163</v>
      </c>
      <c r="AN45" s="805" t="s">
        <v>602</v>
      </c>
      <c r="AO45" s="805" t="s">
        <v>861</v>
      </c>
      <c r="AP45" s="805" t="s">
        <v>163</v>
      </c>
    </row>
    <row r="46" spans="3:42" x14ac:dyDescent="0.3">
      <c r="C46" s="576"/>
      <c r="D46" s="612" t="s">
        <v>442</v>
      </c>
      <c r="E46" s="581">
        <f>E30+E37</f>
        <v>0</v>
      </c>
      <c r="F46" s="581">
        <f t="shared" ref="F46:H46" si="4">F30+F37</f>
        <v>0</v>
      </c>
      <c r="G46" s="581">
        <f t="shared" si="4"/>
        <v>0</v>
      </c>
      <c r="H46" s="581">
        <f t="shared" si="4"/>
        <v>0</v>
      </c>
      <c r="I46" s="581">
        <f t="shared" si="3"/>
        <v>0</v>
      </c>
      <c r="J46" s="981"/>
      <c r="K46" s="982"/>
      <c r="L46" s="982"/>
      <c r="M46" s="982"/>
      <c r="N46" s="982"/>
      <c r="O46" s="982"/>
      <c r="P46" s="983"/>
      <c r="R46" s="576"/>
      <c r="S46" s="577" t="s">
        <v>262</v>
      </c>
      <c r="T46" s="578">
        <f>'3 TASE'!G76/1000</f>
        <v>0</v>
      </c>
      <c r="U46" s="578">
        <f>'3 TASE'!H76/1000</f>
        <v>0</v>
      </c>
      <c r="V46" s="578">
        <f>'3 TASE'!I76/1000</f>
        <v>0</v>
      </c>
      <c r="W46" s="578">
        <f>'3 TASE'!J76/1000</f>
        <v>0</v>
      </c>
      <c r="X46" s="578">
        <f>'3 TASE'!K76/1000</f>
        <v>0</v>
      </c>
      <c r="Y46" s="578">
        <f>'3 TASE'!L76/1000</f>
        <v>0</v>
      </c>
      <c r="AA46" s="1114" t="str">
        <f>'4 LAINAT'!C24</f>
        <v>1. vuonna nostettavat lainat</v>
      </c>
      <c r="AB46" s="1115"/>
      <c r="AC46" s="1115"/>
      <c r="AD46" s="1115"/>
      <c r="AE46" s="1115"/>
      <c r="AF46" s="1115"/>
      <c r="AG46" s="1115"/>
      <c r="AH46" s="1115"/>
      <c r="AI46" s="1115"/>
      <c r="AJ46" s="1115"/>
      <c r="AK46" s="1115"/>
      <c r="AL46" s="1115"/>
      <c r="AM46" s="1115"/>
      <c r="AN46" s="1115"/>
      <c r="AO46" s="1115"/>
      <c r="AP46" s="1116"/>
    </row>
    <row r="47" spans="3:42" x14ac:dyDescent="0.3">
      <c r="R47" s="576"/>
      <c r="S47" s="577" t="s">
        <v>263</v>
      </c>
      <c r="T47" s="578">
        <f>'3 TASE'!G77/1000</f>
        <v>0</v>
      </c>
      <c r="U47" s="578">
        <f>'3 TASE'!H77/1000</f>
        <v>0</v>
      </c>
      <c r="V47" s="578">
        <f>'3 TASE'!I77/1000</f>
        <v>0</v>
      </c>
      <c r="W47" s="578">
        <f>'3 TASE'!J77/1000</f>
        <v>0</v>
      </c>
      <c r="X47" s="578">
        <f>'3 TASE'!K77/1000</f>
        <v>0</v>
      </c>
      <c r="Y47" s="578">
        <f>'3 TASE'!L77/1000</f>
        <v>0</v>
      </c>
      <c r="AA47" s="632" t="str">
        <f>'4 LAINAT'!C25</f>
        <v>Rahoittaja/rahoitettava kohde</v>
      </c>
      <c r="AB47" s="578">
        <f>'4 LAINAT'!D25/1000</f>
        <v>0</v>
      </c>
      <c r="AC47" s="580">
        <f>'4 LAINAT'!E25</f>
        <v>0</v>
      </c>
      <c r="AD47" s="635">
        <f>'4 LAINAT'!F25</f>
        <v>0</v>
      </c>
      <c r="AE47" s="578">
        <f>'4 LAINAT'!G25/1000</f>
        <v>0</v>
      </c>
      <c r="AF47" s="578">
        <f>'4 LAINAT'!H25/1000</f>
        <v>0</v>
      </c>
      <c r="AG47" s="578">
        <f>'4 LAINAT'!I25/1000</f>
        <v>0</v>
      </c>
      <c r="AH47" s="578">
        <f>'4 LAINAT'!J25/1000</f>
        <v>0</v>
      </c>
      <c r="AI47" s="578">
        <f>'4 LAINAT'!K25/1000</f>
        <v>0</v>
      </c>
      <c r="AJ47" s="578">
        <f>'4 LAINAT'!L25/1000</f>
        <v>0</v>
      </c>
      <c r="AK47" s="578">
        <f>'4 LAINAT'!M25/1000</f>
        <v>0</v>
      </c>
      <c r="AL47" s="578">
        <f>'4 LAINAT'!N25/1000</f>
        <v>0</v>
      </c>
      <c r="AM47" s="578">
        <f>'4 LAINAT'!O25/1000</f>
        <v>0</v>
      </c>
      <c r="AN47" s="578">
        <f>'4 LAINAT'!P25/1000</f>
        <v>0</v>
      </c>
      <c r="AO47" s="578">
        <f>'4 LAINAT'!Q25/1000</f>
        <v>0</v>
      </c>
      <c r="AP47" s="578">
        <f>'4 LAINAT'!R25/1000</f>
        <v>0</v>
      </c>
    </row>
    <row r="48" spans="3:42" x14ac:dyDescent="0.3">
      <c r="R48" s="576"/>
      <c r="S48" s="577" t="s">
        <v>267</v>
      </c>
      <c r="T48" s="578">
        <f>'3 TASE'!G81/1000</f>
        <v>0</v>
      </c>
      <c r="U48" s="578">
        <f>'3 TASE'!H81/1000</f>
        <v>0</v>
      </c>
      <c r="V48" s="578">
        <f>'3 TASE'!I81/1000</f>
        <v>0</v>
      </c>
      <c r="W48" s="578">
        <f>'3 TASE'!J81/1000</f>
        <v>0</v>
      </c>
      <c r="X48" s="578">
        <f>'3 TASE'!K81/1000</f>
        <v>0</v>
      </c>
      <c r="Y48" s="578">
        <f>'3 TASE'!L81/1000</f>
        <v>0</v>
      </c>
      <c r="AA48" s="632">
        <f>'4 LAINAT'!C26</f>
        <v>0</v>
      </c>
      <c r="AB48" s="578">
        <f>'4 LAINAT'!D26/1000</f>
        <v>0</v>
      </c>
      <c r="AC48" s="580">
        <f>'4 LAINAT'!E26</f>
        <v>0</v>
      </c>
      <c r="AD48" s="635">
        <f>'4 LAINAT'!F26</f>
        <v>0</v>
      </c>
      <c r="AE48" s="578">
        <f>'4 LAINAT'!G26/1000</f>
        <v>0</v>
      </c>
      <c r="AF48" s="578">
        <f>'4 LAINAT'!H26/1000</f>
        <v>0</v>
      </c>
      <c r="AG48" s="578">
        <f>'4 LAINAT'!I26/1000</f>
        <v>0</v>
      </c>
      <c r="AH48" s="578">
        <f>'4 LAINAT'!J26/1000</f>
        <v>0</v>
      </c>
      <c r="AI48" s="578">
        <f>'4 LAINAT'!K26/1000</f>
        <v>0</v>
      </c>
      <c r="AJ48" s="578">
        <f>'4 LAINAT'!L26/1000</f>
        <v>0</v>
      </c>
      <c r="AK48" s="578">
        <f>'4 LAINAT'!M26/1000</f>
        <v>0</v>
      </c>
      <c r="AL48" s="578">
        <f>'4 LAINAT'!N26/1000</f>
        <v>0</v>
      </c>
      <c r="AM48" s="578">
        <f>'4 LAINAT'!O26/1000</f>
        <v>0</v>
      </c>
      <c r="AN48" s="578">
        <f>'4 LAINAT'!P26/1000</f>
        <v>0</v>
      </c>
      <c r="AO48" s="578">
        <f>'4 LAINAT'!Q26/1000</f>
        <v>0</v>
      </c>
      <c r="AP48" s="578">
        <f>'4 LAINAT'!R26/1000</f>
        <v>0</v>
      </c>
    </row>
    <row r="49" spans="3:42" x14ac:dyDescent="0.3">
      <c r="C49" s="591"/>
      <c r="D49" s="592"/>
      <c r="E49" s="1145" t="str">
        <f>'2 &amp; 7 TULOSSUUNNITELMA'!F7</f>
        <v>Toteuma</v>
      </c>
      <c r="F49" s="1146"/>
      <c r="G49" s="1145" t="str">
        <f>'2 &amp; 7 TULOSSUUNNITELMA'!H7</f>
        <v>Toteuma</v>
      </c>
      <c r="H49" s="1146"/>
      <c r="I49" s="1147" t="str">
        <f>'2 &amp; 7 TULOSSUUNNITELMA'!J7</f>
        <v>Ennuste 1</v>
      </c>
      <c r="J49" s="1148"/>
      <c r="K49" s="1147" t="str">
        <f>'2 &amp; 7 TULOSSUUNNITELMA'!L7</f>
        <v>Ennuste 2</v>
      </c>
      <c r="L49" s="1148"/>
      <c r="M49" s="1147" t="str">
        <f>'2 &amp; 7 TULOSSUUNNITELMA'!N7</f>
        <v>Ennuste 3</v>
      </c>
      <c r="N49" s="1148"/>
      <c r="O49" s="1147" t="str">
        <f>'2 &amp; 7 TULOSSUUNNITELMA'!P7</f>
        <v>Ennuste 4</v>
      </c>
      <c r="P49" s="1148"/>
      <c r="R49" s="576"/>
      <c r="S49" s="577" t="s">
        <v>270</v>
      </c>
      <c r="T49" s="578">
        <f>'3 TASE'!G88/1000</f>
        <v>0</v>
      </c>
      <c r="U49" s="578">
        <f>'3 TASE'!H88/1000</f>
        <v>0</v>
      </c>
      <c r="V49" s="578">
        <f>'3 TASE'!I88/1000</f>
        <v>0</v>
      </c>
      <c r="W49" s="578">
        <f>'3 TASE'!J88/1000</f>
        <v>0</v>
      </c>
      <c r="X49" s="578">
        <f>'3 TASE'!K88/1000</f>
        <v>0</v>
      </c>
      <c r="Y49" s="578">
        <f>'3 TASE'!L88/1000</f>
        <v>0</v>
      </c>
      <c r="AA49" s="632">
        <f>'4 LAINAT'!C27</f>
        <v>0</v>
      </c>
      <c r="AB49" s="578">
        <f>'4 LAINAT'!D27/1000</f>
        <v>0</v>
      </c>
      <c r="AC49" s="580">
        <f>'4 LAINAT'!E27</f>
        <v>0</v>
      </c>
      <c r="AD49" s="635">
        <f>'4 LAINAT'!F27</f>
        <v>0</v>
      </c>
      <c r="AE49" s="578">
        <f>'4 LAINAT'!G27/1000</f>
        <v>0</v>
      </c>
      <c r="AF49" s="578">
        <f>'4 LAINAT'!H27/1000</f>
        <v>0</v>
      </c>
      <c r="AG49" s="578">
        <f>'4 LAINAT'!I27/1000</f>
        <v>0</v>
      </c>
      <c r="AH49" s="578">
        <f>'4 LAINAT'!J27/1000</f>
        <v>0</v>
      </c>
      <c r="AI49" s="578">
        <f>'4 LAINAT'!K27/1000</f>
        <v>0</v>
      </c>
      <c r="AJ49" s="578">
        <f>'4 LAINAT'!L27/1000</f>
        <v>0</v>
      </c>
      <c r="AK49" s="578">
        <f>'4 LAINAT'!M27/1000</f>
        <v>0</v>
      </c>
      <c r="AL49" s="578">
        <f>'4 LAINAT'!N27/1000</f>
        <v>0</v>
      </c>
      <c r="AM49" s="578">
        <f>'4 LAINAT'!O27/1000</f>
        <v>0</v>
      </c>
      <c r="AN49" s="578">
        <f>'4 LAINAT'!P27/1000</f>
        <v>0</v>
      </c>
      <c r="AO49" s="578">
        <f>'4 LAINAT'!Q27/1000</f>
        <v>0</v>
      </c>
      <c r="AP49" s="578">
        <f>'4 LAINAT'!R27/1000</f>
        <v>0</v>
      </c>
    </row>
    <row r="50" spans="3:42" x14ac:dyDescent="0.3">
      <c r="C50" s="619" t="s">
        <v>817</v>
      </c>
      <c r="D50" s="618"/>
      <c r="E50" s="1143">
        <f>'2 &amp; 7 TULOSSUUNNITELMA'!F8</f>
        <v>2024</v>
      </c>
      <c r="F50" s="1144"/>
      <c r="G50" s="1143">
        <f>'2 &amp; 7 TULOSSUUNNITELMA'!H8</f>
        <v>2025</v>
      </c>
      <c r="H50" s="1144"/>
      <c r="I50" s="1143">
        <f>'2 &amp; 7 TULOSSUUNNITELMA'!J8</f>
        <v>2026</v>
      </c>
      <c r="J50" s="1144"/>
      <c r="K50" s="1143">
        <f>'2 &amp; 7 TULOSSUUNNITELMA'!L8</f>
        <v>2027</v>
      </c>
      <c r="L50" s="1144"/>
      <c r="M50" s="1143">
        <f>'2 &amp; 7 TULOSSUUNNITELMA'!N8</f>
        <v>2028</v>
      </c>
      <c r="N50" s="1144"/>
      <c r="O50" s="1143">
        <f>'2 &amp; 7 TULOSSUUNNITELMA'!P8</f>
        <v>2029</v>
      </c>
      <c r="P50" s="1144"/>
      <c r="R50" s="576"/>
      <c r="S50" s="577" t="s">
        <v>272</v>
      </c>
      <c r="T50" s="578">
        <f>'3 TASE'!G93/1000</f>
        <v>0</v>
      </c>
      <c r="U50" s="578">
        <f>'3 TASE'!H93/1000</f>
        <v>0</v>
      </c>
      <c r="V50" s="578">
        <f>'3 TASE'!I93/1000</f>
        <v>0</v>
      </c>
      <c r="W50" s="578">
        <f>'3 TASE'!J93/1000</f>
        <v>0</v>
      </c>
      <c r="X50" s="578">
        <f>'3 TASE'!K93/1000</f>
        <v>0</v>
      </c>
      <c r="Y50" s="578">
        <f>'3 TASE'!L93/1000</f>
        <v>0</v>
      </c>
      <c r="AA50" s="1114" t="str">
        <f>'4 LAINAT'!C28</f>
        <v>2. vuonna nostettavat lainat</v>
      </c>
      <c r="AB50" s="1115"/>
      <c r="AC50" s="1115"/>
      <c r="AD50" s="1115"/>
      <c r="AE50" s="1115"/>
      <c r="AF50" s="1115"/>
      <c r="AG50" s="1115"/>
      <c r="AH50" s="1115"/>
      <c r="AI50" s="1115"/>
      <c r="AJ50" s="1115"/>
      <c r="AK50" s="1115"/>
      <c r="AL50" s="1115"/>
      <c r="AM50" s="1115"/>
      <c r="AN50" s="1115"/>
      <c r="AO50" s="1115"/>
      <c r="AP50" s="1116"/>
    </row>
    <row r="51" spans="3:42" x14ac:dyDescent="0.3">
      <c r="C51" s="605"/>
      <c r="D51" s="594"/>
      <c r="E51" s="606" t="s">
        <v>797</v>
      </c>
      <c r="F51" s="607" t="s">
        <v>560</v>
      </c>
      <c r="G51" s="606" t="s">
        <v>797</v>
      </c>
      <c r="H51" s="607" t="s">
        <v>560</v>
      </c>
      <c r="I51" s="606" t="s">
        <v>797</v>
      </c>
      <c r="J51" s="607" t="s">
        <v>560</v>
      </c>
      <c r="K51" s="606" t="s">
        <v>797</v>
      </c>
      <c r="L51" s="607" t="s">
        <v>560</v>
      </c>
      <c r="M51" s="606" t="s">
        <v>797</v>
      </c>
      <c r="N51" s="607" t="s">
        <v>560</v>
      </c>
      <c r="O51" s="606" t="s">
        <v>797</v>
      </c>
      <c r="P51" s="594" t="s">
        <v>560</v>
      </c>
      <c r="R51" s="611" t="s">
        <v>273</v>
      </c>
      <c r="S51" s="612"/>
      <c r="T51" s="581">
        <f t="shared" ref="T51:U51" si="5">T30+T36+T37+T38+T44</f>
        <v>0</v>
      </c>
      <c r="U51" s="581">
        <f t="shared" si="5"/>
        <v>0</v>
      </c>
      <c r="V51" s="581">
        <f>V30+V36+V37+V38+V44</f>
        <v>0</v>
      </c>
      <c r="W51" s="581">
        <f t="shared" ref="W51:Y51" si="6">W30+W36+W37+W38+W44</f>
        <v>0</v>
      </c>
      <c r="X51" s="581">
        <f t="shared" si="6"/>
        <v>0</v>
      </c>
      <c r="Y51" s="581">
        <f t="shared" si="6"/>
        <v>0</v>
      </c>
      <c r="AA51" s="632" t="str">
        <f>'4 LAINAT'!C29</f>
        <v>Rahoittaja/rahoitettava kohde</v>
      </c>
      <c r="AB51" s="578">
        <f>'4 LAINAT'!D29/1000</f>
        <v>0</v>
      </c>
      <c r="AC51" s="580">
        <f>'4 LAINAT'!E29</f>
        <v>0</v>
      </c>
      <c r="AD51" s="635">
        <f>'4 LAINAT'!F29</f>
        <v>0</v>
      </c>
      <c r="AE51" s="578">
        <f>'4 LAINAT'!G29/1000</f>
        <v>0</v>
      </c>
      <c r="AF51" s="578">
        <f>'4 LAINAT'!H29/1000</f>
        <v>0</v>
      </c>
      <c r="AG51" s="578">
        <f>'4 LAINAT'!I29/1000</f>
        <v>0</v>
      </c>
      <c r="AH51" s="578">
        <f>'4 LAINAT'!J29/1000</f>
        <v>0</v>
      </c>
      <c r="AI51" s="578">
        <f>'4 LAINAT'!K29/1000</f>
        <v>0</v>
      </c>
      <c r="AJ51" s="578">
        <f>'4 LAINAT'!L29/1000</f>
        <v>0</v>
      </c>
      <c r="AK51" s="578">
        <f>'4 LAINAT'!M29/1000</f>
        <v>0</v>
      </c>
      <c r="AL51" s="578">
        <f>'4 LAINAT'!N29/1000</f>
        <v>0</v>
      </c>
      <c r="AM51" s="578">
        <f>'4 LAINAT'!O29/1000</f>
        <v>0</v>
      </c>
      <c r="AN51" s="578">
        <f>'4 LAINAT'!P29/1000</f>
        <v>0</v>
      </c>
      <c r="AO51" s="578">
        <f>'4 LAINAT'!Q29/1000</f>
        <v>0</v>
      </c>
      <c r="AP51" s="578">
        <f>'4 LAINAT'!R29/1000</f>
        <v>0</v>
      </c>
    </row>
    <row r="52" spans="3:42" x14ac:dyDescent="0.3">
      <c r="C52" s="576"/>
      <c r="D52" s="577" t="s">
        <v>562</v>
      </c>
      <c r="E52" s="580">
        <f>'2 &amp; 7 TULOSSUUNNITELMA'!F10</f>
        <v>12</v>
      </c>
      <c r="F52" s="580"/>
      <c r="G52" s="580">
        <f>'2 &amp; 7 TULOSSUUNNITELMA'!H10</f>
        <v>12</v>
      </c>
      <c r="H52" s="580"/>
      <c r="I52" s="580">
        <f>'2 &amp; 7 TULOSSUUNNITELMA'!J10</f>
        <v>12</v>
      </c>
      <c r="J52" s="580"/>
      <c r="K52" s="580">
        <f>'2 &amp; 7 TULOSSUUNNITELMA'!L10</f>
        <v>12</v>
      </c>
      <c r="L52" s="580"/>
      <c r="M52" s="580">
        <f>'2 &amp; 7 TULOSSUUNNITELMA'!N10</f>
        <v>12</v>
      </c>
      <c r="N52" s="580"/>
      <c r="O52" s="580">
        <f>'2 &amp; 7 TULOSSUUNNITELMA'!P10</f>
        <v>12</v>
      </c>
      <c r="P52" s="580"/>
      <c r="AA52" s="632">
        <f>'4 LAINAT'!C30</f>
        <v>0</v>
      </c>
      <c r="AB52" s="578">
        <f>'4 LAINAT'!D30/1000</f>
        <v>0</v>
      </c>
      <c r="AC52" s="580">
        <f>'4 LAINAT'!E30</f>
        <v>0</v>
      </c>
      <c r="AD52" s="635">
        <f>'4 LAINAT'!F30</f>
        <v>0</v>
      </c>
      <c r="AE52" s="578">
        <f>'4 LAINAT'!G30/1000</f>
        <v>0</v>
      </c>
      <c r="AF52" s="578">
        <f>'4 LAINAT'!H30/1000</f>
        <v>0</v>
      </c>
      <c r="AG52" s="578">
        <f>'4 LAINAT'!I30/1000</f>
        <v>0</v>
      </c>
      <c r="AH52" s="578">
        <f>'4 LAINAT'!J30/1000</f>
        <v>0</v>
      </c>
      <c r="AI52" s="578">
        <f>'4 LAINAT'!K30/1000</f>
        <v>0</v>
      </c>
      <c r="AJ52" s="578">
        <f>'4 LAINAT'!L30/1000</f>
        <v>0</v>
      </c>
      <c r="AK52" s="578">
        <f>'4 LAINAT'!M30/1000</f>
        <v>0</v>
      </c>
      <c r="AL52" s="578">
        <f>'4 LAINAT'!N30/1000</f>
        <v>0</v>
      </c>
      <c r="AM52" s="578">
        <f>'4 LAINAT'!O30/1000</f>
        <v>0</v>
      </c>
      <c r="AN52" s="578">
        <f>'4 LAINAT'!P30/1000</f>
        <v>0</v>
      </c>
      <c r="AO52" s="578">
        <f>'4 LAINAT'!Q30/1000</f>
        <v>0</v>
      </c>
      <c r="AP52" s="578">
        <f>'4 LAINAT'!R30/1000</f>
        <v>0</v>
      </c>
    </row>
    <row r="53" spans="3:42" x14ac:dyDescent="0.3">
      <c r="C53" s="576" t="s">
        <v>275</v>
      </c>
      <c r="D53" s="612" t="s">
        <v>215</v>
      </c>
      <c r="E53" s="581">
        <f>'2 &amp; 7 TULOSSUUNNITELMA'!F11/1000</f>
        <v>0</v>
      </c>
      <c r="F53" s="581"/>
      <c r="G53" s="581">
        <f>'2 &amp; 7 TULOSSUUNNITELMA'!H11/1000</f>
        <v>0</v>
      </c>
      <c r="H53" s="581"/>
      <c r="I53" s="581">
        <f>'2 &amp; 7 TULOSSUUNNITELMA'!J11/1000</f>
        <v>0</v>
      </c>
      <c r="J53" s="581"/>
      <c r="K53" s="581">
        <f>'2 &amp; 7 TULOSSUUNNITELMA'!L11/1000</f>
        <v>0</v>
      </c>
      <c r="L53" s="581"/>
      <c r="M53" s="581">
        <f>'2 &amp; 7 TULOSSUUNNITELMA'!N11/1000</f>
        <v>0</v>
      </c>
      <c r="N53" s="581"/>
      <c r="O53" s="581">
        <f>'2 &amp; 7 TULOSSUUNNITELMA'!P11/1000</f>
        <v>0</v>
      </c>
      <c r="P53" s="580"/>
      <c r="AA53" s="632">
        <f>'4 LAINAT'!C31</f>
        <v>0</v>
      </c>
      <c r="AB53" s="578">
        <f>'4 LAINAT'!D31/1000</f>
        <v>0</v>
      </c>
      <c r="AC53" s="580">
        <f>'4 LAINAT'!E31</f>
        <v>0</v>
      </c>
      <c r="AD53" s="635">
        <f>'4 LAINAT'!F31</f>
        <v>0</v>
      </c>
      <c r="AE53" s="578">
        <f>'4 LAINAT'!G31/1000</f>
        <v>0</v>
      </c>
      <c r="AF53" s="578">
        <f>'4 LAINAT'!H31/1000</f>
        <v>0</v>
      </c>
      <c r="AG53" s="578">
        <f>'4 LAINAT'!I31/1000</f>
        <v>0</v>
      </c>
      <c r="AH53" s="578">
        <f>'4 LAINAT'!J31/1000</f>
        <v>0</v>
      </c>
      <c r="AI53" s="578">
        <f>'4 LAINAT'!K31/1000</f>
        <v>0</v>
      </c>
      <c r="AJ53" s="578">
        <f>'4 LAINAT'!L31/1000</f>
        <v>0</v>
      </c>
      <c r="AK53" s="578">
        <f>'4 LAINAT'!M31/1000</f>
        <v>0</v>
      </c>
      <c r="AL53" s="578">
        <f>'4 LAINAT'!N31/1000</f>
        <v>0</v>
      </c>
      <c r="AM53" s="578">
        <f>'4 LAINAT'!O31/1000</f>
        <v>0</v>
      </c>
      <c r="AN53" s="578">
        <f>'4 LAINAT'!P31/1000</f>
        <v>0</v>
      </c>
      <c r="AO53" s="578">
        <f>'4 LAINAT'!Q31/1000</f>
        <v>0</v>
      </c>
      <c r="AP53" s="578">
        <f>'4 LAINAT'!R31/1000</f>
        <v>0</v>
      </c>
    </row>
    <row r="54" spans="3:42" x14ac:dyDescent="0.3">
      <c r="C54" s="576" t="s">
        <v>276</v>
      </c>
      <c r="D54" s="577" t="s">
        <v>207</v>
      </c>
      <c r="E54" s="578">
        <f>'2 &amp; 7 TULOSSUUNNITELMA'!F12/1000</f>
        <v>0</v>
      </c>
      <c r="F54" s="580"/>
      <c r="G54" s="578">
        <f>'2 &amp; 7 TULOSSUUNNITELMA'!H12/1000</f>
        <v>0</v>
      </c>
      <c r="H54" s="578"/>
      <c r="I54" s="578">
        <f>'2 &amp; 7 TULOSSUUNNITELMA'!J12/1000</f>
        <v>0</v>
      </c>
      <c r="J54" s="578"/>
      <c r="K54" s="578">
        <f>'2 &amp; 7 TULOSSUUNNITELMA'!L12/1000</f>
        <v>0</v>
      </c>
      <c r="L54" s="578"/>
      <c r="M54" s="578">
        <f>'2 &amp; 7 TULOSSUUNNITELMA'!N12/1000</f>
        <v>0</v>
      </c>
      <c r="N54" s="578"/>
      <c r="O54" s="578">
        <f>'2 &amp; 7 TULOSSUUNNITELMA'!P12/1000</f>
        <v>0</v>
      </c>
      <c r="P54" s="580"/>
      <c r="R54" s="591"/>
      <c r="S54" s="616"/>
      <c r="T54" s="616"/>
      <c r="U54" s="592"/>
      <c r="V54" s="610" t="str">
        <f>'8 RAHOITUSSUUNNITELMA'!H7</f>
        <v>Ennuste 1</v>
      </c>
      <c r="W54" s="610" t="str">
        <f>'8 RAHOITUSSUUNNITELMA'!I7</f>
        <v>Ennuste 2</v>
      </c>
      <c r="X54" s="610" t="str">
        <f>'8 RAHOITUSSUUNNITELMA'!J7</f>
        <v>Ennuste 3</v>
      </c>
      <c r="Y54" s="610" t="str">
        <f>'8 RAHOITUSSUUNNITELMA'!K7</f>
        <v>Ennuste 4</v>
      </c>
      <c r="AA54" s="1114" t="str">
        <f>'4 LAINAT'!C32</f>
        <v>3. vuonna nostettavat lainat</v>
      </c>
      <c r="AB54" s="1115"/>
      <c r="AC54" s="1115"/>
      <c r="AD54" s="1115"/>
      <c r="AE54" s="1115"/>
      <c r="AF54" s="1115"/>
      <c r="AG54" s="1115"/>
      <c r="AH54" s="1115"/>
      <c r="AI54" s="1115"/>
      <c r="AJ54" s="1115"/>
      <c r="AK54" s="1115"/>
      <c r="AL54" s="1115"/>
      <c r="AM54" s="1115"/>
      <c r="AN54" s="1115"/>
      <c r="AO54" s="1115"/>
      <c r="AP54" s="1116"/>
    </row>
    <row r="55" spans="3:42" x14ac:dyDescent="0.3">
      <c r="C55" s="576" t="s">
        <v>277</v>
      </c>
      <c r="D55" s="577" t="s">
        <v>208</v>
      </c>
      <c r="E55" s="578">
        <f>'2 &amp; 7 TULOSSUUNNITELMA'!F13/1000</f>
        <v>0</v>
      </c>
      <c r="F55" s="580"/>
      <c r="G55" s="578">
        <f>'2 &amp; 7 TULOSSUUNNITELMA'!H13/1000</f>
        <v>0</v>
      </c>
      <c r="H55" s="578"/>
      <c r="I55" s="578">
        <f>'2 &amp; 7 TULOSSUUNNITELMA'!J13/1000</f>
        <v>0</v>
      </c>
      <c r="J55" s="578"/>
      <c r="K55" s="578">
        <f>'2 &amp; 7 TULOSSUUNNITELMA'!L13/1000</f>
        <v>0</v>
      </c>
      <c r="L55" s="578"/>
      <c r="M55" s="578">
        <f>'2 &amp; 7 TULOSSUUNNITELMA'!N13/1000</f>
        <v>0</v>
      </c>
      <c r="N55" s="578"/>
      <c r="O55" s="578">
        <f>'2 &amp; 7 TULOSSUUNNITELMA'!P13/1000</f>
        <v>0</v>
      </c>
      <c r="P55" s="580"/>
      <c r="R55" s="593" t="s">
        <v>816</v>
      </c>
      <c r="S55" s="617"/>
      <c r="T55" s="617"/>
      <c r="U55" s="594"/>
      <c r="V55" s="595">
        <f>'8 RAHOITUSSUUNNITELMA'!H8</f>
        <v>2026</v>
      </c>
      <c r="W55" s="595">
        <f>'8 RAHOITUSSUUNNITELMA'!I8</f>
        <v>2027</v>
      </c>
      <c r="X55" s="595">
        <f>'8 RAHOITUSSUUNNITELMA'!J8</f>
        <v>2028</v>
      </c>
      <c r="Y55" s="595">
        <f>'8 RAHOITUSSUUNNITELMA'!K8</f>
        <v>2029</v>
      </c>
      <c r="AA55" s="632" t="str">
        <f>'4 LAINAT'!C33</f>
        <v>Rahoittaja/rahoitettava kohde</v>
      </c>
      <c r="AB55" s="578">
        <f>'4 LAINAT'!D33/1000</f>
        <v>0</v>
      </c>
      <c r="AC55" s="580">
        <f>'4 LAINAT'!E33</f>
        <v>0</v>
      </c>
      <c r="AD55" s="635">
        <f>'4 LAINAT'!F33</f>
        <v>0</v>
      </c>
      <c r="AE55" s="578">
        <f>'4 LAINAT'!G33/1000</f>
        <v>0</v>
      </c>
      <c r="AF55" s="578">
        <f>'4 LAINAT'!H33/1000</f>
        <v>0</v>
      </c>
      <c r="AG55" s="578">
        <f>'4 LAINAT'!I33/1000</f>
        <v>0</v>
      </c>
      <c r="AH55" s="578">
        <f>'4 LAINAT'!J33/1000</f>
        <v>0</v>
      </c>
      <c r="AI55" s="578">
        <f>'4 LAINAT'!K33/1000</f>
        <v>0</v>
      </c>
      <c r="AJ55" s="578">
        <f>'4 LAINAT'!L33/1000</f>
        <v>0</v>
      </c>
      <c r="AK55" s="578">
        <f>'4 LAINAT'!M33/1000</f>
        <v>0</v>
      </c>
      <c r="AL55" s="578">
        <f>'4 LAINAT'!N33/1000</f>
        <v>0</v>
      </c>
      <c r="AM55" s="578">
        <f>'4 LAINAT'!O33/1000</f>
        <v>0</v>
      </c>
      <c r="AN55" s="578">
        <f>'4 LAINAT'!P33/1000</f>
        <v>0</v>
      </c>
      <c r="AO55" s="578">
        <f>'4 LAINAT'!Q33/1000</f>
        <v>0</v>
      </c>
      <c r="AP55" s="578">
        <f>'4 LAINAT'!R33/1000</f>
        <v>0</v>
      </c>
    </row>
    <row r="56" spans="3:42" x14ac:dyDescent="0.3">
      <c r="C56" s="576" t="s">
        <v>278</v>
      </c>
      <c r="D56" s="612" t="s">
        <v>219</v>
      </c>
      <c r="E56" s="581">
        <f>'2 &amp; 7 TULOSSUUNNITELMA'!F14/1000</f>
        <v>0</v>
      </c>
      <c r="F56" s="609"/>
      <c r="G56" s="581">
        <f>'2 &amp; 7 TULOSSUUNNITELMA'!H14/1000</f>
        <v>0</v>
      </c>
      <c r="H56" s="581"/>
      <c r="I56" s="581">
        <f>'2 &amp; 7 TULOSSUUNNITELMA'!J14/1000</f>
        <v>0</v>
      </c>
      <c r="J56" s="581"/>
      <c r="K56" s="581">
        <f>'2 &amp; 7 TULOSSUUNNITELMA'!L14/1000</f>
        <v>0</v>
      </c>
      <c r="L56" s="581"/>
      <c r="M56" s="581">
        <f>'2 &amp; 7 TULOSSUUNNITELMA'!N14/1000</f>
        <v>0</v>
      </c>
      <c r="N56" s="581"/>
      <c r="O56" s="581">
        <f>'2 &amp; 7 TULOSSUUNNITELMA'!P14/1000</f>
        <v>0</v>
      </c>
      <c r="P56" s="580"/>
      <c r="R56" s="611" t="s">
        <v>274</v>
      </c>
      <c r="S56" s="620"/>
      <c r="T56" s="620"/>
      <c r="U56" s="577"/>
      <c r="V56" s="578"/>
      <c r="W56" s="578"/>
      <c r="X56" s="578"/>
      <c r="Y56" s="578"/>
      <c r="AA56" s="632">
        <f>'4 LAINAT'!C34</f>
        <v>0</v>
      </c>
      <c r="AB56" s="578">
        <f>'4 LAINAT'!D34/1000</f>
        <v>0</v>
      </c>
      <c r="AC56" s="580">
        <f>'4 LAINAT'!E34</f>
        <v>0</v>
      </c>
      <c r="AD56" s="635">
        <f>'4 LAINAT'!F34</f>
        <v>0</v>
      </c>
      <c r="AE56" s="578">
        <f>'4 LAINAT'!G34/1000</f>
        <v>0</v>
      </c>
      <c r="AF56" s="578">
        <f>'4 LAINAT'!H34/1000</f>
        <v>0</v>
      </c>
      <c r="AG56" s="578">
        <f>'4 LAINAT'!I34/1000</f>
        <v>0</v>
      </c>
      <c r="AH56" s="578">
        <f>'4 LAINAT'!J34/1000</f>
        <v>0</v>
      </c>
      <c r="AI56" s="578">
        <f>'4 LAINAT'!K34/1000</f>
        <v>0</v>
      </c>
      <c r="AJ56" s="578">
        <f>'4 LAINAT'!L34/1000</f>
        <v>0</v>
      </c>
      <c r="AK56" s="578">
        <f>'4 LAINAT'!M34/1000</f>
        <v>0</v>
      </c>
      <c r="AL56" s="578">
        <f>'4 LAINAT'!N34/1000</f>
        <v>0</v>
      </c>
      <c r="AM56" s="578">
        <f>'4 LAINAT'!O34/1000</f>
        <v>0</v>
      </c>
      <c r="AN56" s="578">
        <f>'4 LAINAT'!P34/1000</f>
        <v>0</v>
      </c>
      <c r="AO56" s="578">
        <f>'4 LAINAT'!Q34/1000</f>
        <v>0</v>
      </c>
      <c r="AP56" s="578">
        <f>'4 LAINAT'!R34/1000</f>
        <v>0</v>
      </c>
    </row>
    <row r="57" spans="3:42" x14ac:dyDescent="0.3">
      <c r="C57" s="576" t="s">
        <v>279</v>
      </c>
      <c r="D57" s="577" t="s">
        <v>209</v>
      </c>
      <c r="E57" s="578">
        <f>'2 &amp; 7 TULOSSUUNNITELMA'!F15/1000</f>
        <v>0</v>
      </c>
      <c r="F57" s="580"/>
      <c r="G57" s="578">
        <f>'2 &amp; 7 TULOSSUUNNITELMA'!H15/1000</f>
        <v>0</v>
      </c>
      <c r="H57" s="578"/>
      <c r="I57" s="578">
        <f>'2 &amp; 7 TULOSSUUNNITELMA'!J15/1000</f>
        <v>0</v>
      </c>
      <c r="J57" s="578"/>
      <c r="K57" s="578">
        <f>'2 &amp; 7 TULOSSUUNNITELMA'!L15/1000</f>
        <v>0</v>
      </c>
      <c r="L57" s="578"/>
      <c r="M57" s="578">
        <f>'2 &amp; 7 TULOSSUUNNITELMA'!N15/1000</f>
        <v>0</v>
      </c>
      <c r="N57" s="578"/>
      <c r="O57" s="578">
        <f>'2 &amp; 7 TULOSSUUNNITELMA'!P15/1000</f>
        <v>0</v>
      </c>
      <c r="P57" s="580"/>
      <c r="R57" s="576"/>
      <c r="S57" s="620" t="s">
        <v>818</v>
      </c>
      <c r="T57" s="620"/>
      <c r="U57" s="577"/>
      <c r="V57" s="578">
        <f>'8 RAHOITUSSUUNNITELMA'!H10/1000</f>
        <v>0</v>
      </c>
      <c r="W57" s="578">
        <f>'8 RAHOITUSSUUNNITELMA'!I10/1000</f>
        <v>0</v>
      </c>
      <c r="X57" s="578">
        <f>'8 RAHOITUSSUUNNITELMA'!J10/1000</f>
        <v>0</v>
      </c>
      <c r="Y57" s="578">
        <f>'8 RAHOITUSSUUNNITELMA'!K10/1000</f>
        <v>0</v>
      </c>
      <c r="AA57" s="632">
        <f>'4 LAINAT'!C35</f>
        <v>0</v>
      </c>
      <c r="AB57" s="578">
        <f>'4 LAINAT'!D35/1000</f>
        <v>0</v>
      </c>
      <c r="AC57" s="580">
        <f>'4 LAINAT'!E35</f>
        <v>0</v>
      </c>
      <c r="AD57" s="635">
        <f>'4 LAINAT'!F35</f>
        <v>0</v>
      </c>
      <c r="AE57" s="578">
        <f>'4 LAINAT'!G35/1000</f>
        <v>0</v>
      </c>
      <c r="AF57" s="578">
        <f>'4 LAINAT'!H35/1000</f>
        <v>0</v>
      </c>
      <c r="AG57" s="578">
        <f>'4 LAINAT'!I35/1000</f>
        <v>0</v>
      </c>
      <c r="AH57" s="578">
        <f>'4 LAINAT'!J35/1000</f>
        <v>0</v>
      </c>
      <c r="AI57" s="578">
        <f>'4 LAINAT'!K35/1000</f>
        <v>0</v>
      </c>
      <c r="AJ57" s="578">
        <f>'4 LAINAT'!L35/1000</f>
        <v>0</v>
      </c>
      <c r="AK57" s="578">
        <f>'4 LAINAT'!M35/1000</f>
        <v>0</v>
      </c>
      <c r="AL57" s="578">
        <f>'4 LAINAT'!N35/1000</f>
        <v>0</v>
      </c>
      <c r="AM57" s="578">
        <f>'4 LAINAT'!O35/1000</f>
        <v>0</v>
      </c>
      <c r="AN57" s="578">
        <f>'4 LAINAT'!P35/1000</f>
        <v>0</v>
      </c>
      <c r="AO57" s="578">
        <f>'4 LAINAT'!Q35/1000</f>
        <v>0</v>
      </c>
      <c r="AP57" s="578">
        <f>'4 LAINAT'!R35/1000</f>
        <v>0</v>
      </c>
    </row>
    <row r="58" spans="3:42" x14ac:dyDescent="0.3">
      <c r="C58" s="576" t="s">
        <v>285</v>
      </c>
      <c r="D58" s="577" t="s">
        <v>210</v>
      </c>
      <c r="E58" s="578">
        <f>'2 &amp; 7 TULOSSUUNNITELMA'!F16/1000</f>
        <v>0</v>
      </c>
      <c r="F58" s="580"/>
      <c r="G58" s="578">
        <f>'2 &amp; 7 TULOSSUUNNITELMA'!H16/1000</f>
        <v>0</v>
      </c>
      <c r="H58" s="578"/>
      <c r="I58" s="578">
        <f>'2 &amp; 7 TULOSSUUNNITELMA'!J16/1000</f>
        <v>0</v>
      </c>
      <c r="J58" s="578"/>
      <c r="K58" s="578">
        <f>'2 &amp; 7 TULOSSUUNNITELMA'!L16/1000</f>
        <v>0</v>
      </c>
      <c r="L58" s="578"/>
      <c r="M58" s="578">
        <f>'2 &amp; 7 TULOSSUUNNITELMA'!N16/1000</f>
        <v>0</v>
      </c>
      <c r="N58" s="578"/>
      <c r="O58" s="578">
        <f>'2 &amp; 7 TULOSSUUNNITELMA'!P16/1000</f>
        <v>0</v>
      </c>
      <c r="P58" s="580"/>
      <c r="R58" s="589"/>
      <c r="S58" s="604" t="s">
        <v>819</v>
      </c>
      <c r="T58" s="604"/>
      <c r="U58" s="584"/>
      <c r="V58" s="578">
        <f>'8 RAHOITUSSUUNNITELMA'!H11/1000</f>
        <v>0</v>
      </c>
      <c r="W58" s="578">
        <f>'8 RAHOITUSSUUNNITELMA'!I11/1000</f>
        <v>0</v>
      </c>
      <c r="X58" s="578">
        <f>'8 RAHOITUSSUUNNITELMA'!J11/1000</f>
        <v>0</v>
      </c>
      <c r="Y58" s="578">
        <f>'8 RAHOITUSSUUNNITELMA'!K11/1000</f>
        <v>0</v>
      </c>
      <c r="AA58" s="1114" t="str">
        <f>'4 LAINAT'!C36</f>
        <v>4. vuonna nostettavat lainat</v>
      </c>
      <c r="AB58" s="1115"/>
      <c r="AC58" s="1115"/>
      <c r="AD58" s="1115"/>
      <c r="AE58" s="1115"/>
      <c r="AF58" s="1115"/>
      <c r="AG58" s="1115"/>
      <c r="AH58" s="1115"/>
      <c r="AI58" s="1115"/>
      <c r="AJ58" s="1115"/>
      <c r="AK58" s="1115"/>
      <c r="AL58" s="1115"/>
      <c r="AM58" s="1115"/>
      <c r="AN58" s="1115"/>
      <c r="AO58" s="1115"/>
      <c r="AP58" s="1116"/>
    </row>
    <row r="59" spans="3:42" x14ac:dyDescent="0.3">
      <c r="C59" s="576" t="s">
        <v>286</v>
      </c>
      <c r="D59" s="577" t="s">
        <v>211</v>
      </c>
      <c r="E59" s="578">
        <f>'2 &amp; 7 TULOSSUUNNITELMA'!F17/1000</f>
        <v>0</v>
      </c>
      <c r="F59" s="580"/>
      <c r="G59" s="578">
        <f>'2 &amp; 7 TULOSSUUNNITELMA'!H17/1000</f>
        <v>0</v>
      </c>
      <c r="H59" s="578"/>
      <c r="I59" s="578">
        <f>'2 &amp; 7 TULOSSUUNNITELMA'!J17/1000</f>
        <v>0</v>
      </c>
      <c r="J59" s="578"/>
      <c r="K59" s="578">
        <f>'2 &amp; 7 TULOSSUUNNITELMA'!L17/1000</f>
        <v>0</v>
      </c>
      <c r="L59" s="578"/>
      <c r="M59" s="578">
        <f>'2 &amp; 7 TULOSSUUNNITELMA'!N17/1000</f>
        <v>0</v>
      </c>
      <c r="N59" s="578"/>
      <c r="O59" s="578">
        <f>'2 &amp; 7 TULOSSUUNNITELMA'!P17/1000</f>
        <v>0</v>
      </c>
      <c r="P59" s="580"/>
      <c r="R59" s="576"/>
      <c r="S59" s="620" t="s">
        <v>820</v>
      </c>
      <c r="T59" s="620"/>
      <c r="U59" s="577"/>
      <c r="V59" s="578">
        <f>'8 RAHOITUSSUUNNITELMA'!H12/1000</f>
        <v>0</v>
      </c>
      <c r="W59" s="578">
        <f>'8 RAHOITUSSUUNNITELMA'!I12/1000</f>
        <v>0</v>
      </c>
      <c r="X59" s="578">
        <f>'8 RAHOITUSSUUNNITELMA'!J12/1000</f>
        <v>0</v>
      </c>
      <c r="Y59" s="578">
        <f>'8 RAHOITUSSUUNNITELMA'!K12/1000</f>
        <v>0</v>
      </c>
      <c r="AA59" s="632" t="str">
        <f>'4 LAINAT'!C37</f>
        <v>Rahoittaja/rahoitettava kohde</v>
      </c>
      <c r="AB59" s="578">
        <f>'4 LAINAT'!D37/1000</f>
        <v>0</v>
      </c>
      <c r="AC59" s="580">
        <f>'4 LAINAT'!E37</f>
        <v>0</v>
      </c>
      <c r="AD59" s="635">
        <f>'4 LAINAT'!F37</f>
        <v>0</v>
      </c>
      <c r="AE59" s="578">
        <f>'4 LAINAT'!G37/1000</f>
        <v>0</v>
      </c>
      <c r="AF59" s="578">
        <f>'4 LAINAT'!H37/1000</f>
        <v>0</v>
      </c>
      <c r="AG59" s="578">
        <f>'4 LAINAT'!I37/1000</f>
        <v>0</v>
      </c>
      <c r="AH59" s="578">
        <f>'4 LAINAT'!J37/1000</f>
        <v>0</v>
      </c>
      <c r="AI59" s="578">
        <f>'4 LAINAT'!K37/1000</f>
        <v>0</v>
      </c>
      <c r="AJ59" s="578">
        <f>'4 LAINAT'!L37/1000</f>
        <v>0</v>
      </c>
      <c r="AK59" s="578">
        <f>'4 LAINAT'!M37/1000</f>
        <v>0</v>
      </c>
      <c r="AL59" s="578">
        <f>'4 LAINAT'!N37/1000</f>
        <v>0</v>
      </c>
      <c r="AM59" s="578">
        <f>'4 LAINAT'!O37/1000</f>
        <v>0</v>
      </c>
      <c r="AN59" s="578">
        <f>'4 LAINAT'!P37/1000</f>
        <v>0</v>
      </c>
      <c r="AO59" s="578">
        <f>'4 LAINAT'!Q37/1000</f>
        <v>0</v>
      </c>
      <c r="AP59" s="578">
        <f>'4 LAINAT'!R37/1000</f>
        <v>0</v>
      </c>
    </row>
    <row r="60" spans="3:42" x14ac:dyDescent="0.3">
      <c r="C60" s="576" t="s">
        <v>289</v>
      </c>
      <c r="D60" s="577" t="s">
        <v>212</v>
      </c>
      <c r="E60" s="578">
        <f>'2 &amp; 7 TULOSSUUNNITELMA'!F18/1000</f>
        <v>0</v>
      </c>
      <c r="F60" s="580"/>
      <c r="G60" s="578">
        <f>'2 &amp; 7 TULOSSUUNNITELMA'!H18/1000</f>
        <v>0</v>
      </c>
      <c r="H60" s="578"/>
      <c r="I60" s="578">
        <f>'2 &amp; 7 TULOSSUUNNITELMA'!J18/1000</f>
        <v>0</v>
      </c>
      <c r="J60" s="578"/>
      <c r="K60" s="578">
        <f>'2 &amp; 7 TULOSSUUNNITELMA'!L18/1000</f>
        <v>0</v>
      </c>
      <c r="L60" s="578"/>
      <c r="M60" s="578">
        <f>'2 &amp; 7 TULOSSUUNNITELMA'!N18/1000</f>
        <v>0</v>
      </c>
      <c r="N60" s="578"/>
      <c r="O60" s="578">
        <f>'2 &amp; 7 TULOSSUUNNITELMA'!P18/1000</f>
        <v>0</v>
      </c>
      <c r="P60" s="580"/>
      <c r="R60" s="576"/>
      <c r="S60" s="620" t="s">
        <v>821</v>
      </c>
      <c r="T60" s="620"/>
      <c r="U60" s="577"/>
      <c r="V60" s="578">
        <f>'8 RAHOITUSSUUNNITELMA'!H13/1000</f>
        <v>0</v>
      </c>
      <c r="W60" s="578">
        <f>'8 RAHOITUSSUUNNITELMA'!I13/1000</f>
        <v>0</v>
      </c>
      <c r="X60" s="578">
        <f>'8 RAHOITUSSUUNNITELMA'!J13/1000</f>
        <v>0</v>
      </c>
      <c r="Y60" s="578">
        <f>'8 RAHOITUSSUUNNITELMA'!K13/1000</f>
        <v>0</v>
      </c>
      <c r="AA60" s="632">
        <f>'4 LAINAT'!C38</f>
        <v>0</v>
      </c>
      <c r="AB60" s="578">
        <f>'4 LAINAT'!D38/1000</f>
        <v>0</v>
      </c>
      <c r="AC60" s="580">
        <f>'4 LAINAT'!E38</f>
        <v>0</v>
      </c>
      <c r="AD60" s="635">
        <f>'4 LAINAT'!F38</f>
        <v>0</v>
      </c>
      <c r="AE60" s="578">
        <f>'4 LAINAT'!G38/1000</f>
        <v>0</v>
      </c>
      <c r="AF60" s="578">
        <f>'4 LAINAT'!H38/1000</f>
        <v>0</v>
      </c>
      <c r="AG60" s="578">
        <f>'4 LAINAT'!I38/1000</f>
        <v>0</v>
      </c>
      <c r="AH60" s="578">
        <f>'4 LAINAT'!J38/1000</f>
        <v>0</v>
      </c>
      <c r="AI60" s="578">
        <f>'4 LAINAT'!K38/1000</f>
        <v>0</v>
      </c>
      <c r="AJ60" s="578">
        <f>'4 LAINAT'!L38/1000</f>
        <v>0</v>
      </c>
      <c r="AK60" s="578">
        <f>'4 LAINAT'!M38/1000</f>
        <v>0</v>
      </c>
      <c r="AL60" s="578">
        <f>'4 LAINAT'!N38/1000</f>
        <v>0</v>
      </c>
      <c r="AM60" s="578">
        <f>'4 LAINAT'!O38/1000</f>
        <v>0</v>
      </c>
      <c r="AN60" s="578">
        <f>'4 LAINAT'!P38/1000</f>
        <v>0</v>
      </c>
      <c r="AO60" s="578">
        <f>'4 LAINAT'!Q38/1000</f>
        <v>0</v>
      </c>
      <c r="AP60" s="578">
        <f>'4 LAINAT'!R38/1000</f>
        <v>0</v>
      </c>
    </row>
    <row r="61" spans="3:42" x14ac:dyDescent="0.3">
      <c r="C61" s="576" t="s">
        <v>290</v>
      </c>
      <c r="D61" s="577" t="s">
        <v>213</v>
      </c>
      <c r="E61" s="578">
        <f>'2 &amp; 7 TULOSSUUNNITELMA'!F19/1000</f>
        <v>0</v>
      </c>
      <c r="F61" s="580"/>
      <c r="G61" s="578">
        <f>'2 &amp; 7 TULOSSUUNNITELMA'!H19/1000</f>
        <v>0</v>
      </c>
      <c r="H61" s="578"/>
      <c r="I61" s="578">
        <f>'2 &amp; 7 TULOSSUUNNITELMA'!J19/1000</f>
        <v>0</v>
      </c>
      <c r="J61" s="578"/>
      <c r="K61" s="578">
        <f>'2 &amp; 7 TULOSSUUNNITELMA'!L19/1000</f>
        <v>0</v>
      </c>
      <c r="L61" s="578"/>
      <c r="M61" s="578">
        <f>'2 &amp; 7 TULOSSUUNNITELMA'!N19/1000</f>
        <v>0</v>
      </c>
      <c r="N61" s="578"/>
      <c r="O61" s="578">
        <f>'2 &amp; 7 TULOSSUUNNITELMA'!P19/1000</f>
        <v>0</v>
      </c>
      <c r="P61" s="580"/>
      <c r="R61" s="576"/>
      <c r="S61" s="620" t="s">
        <v>822</v>
      </c>
      <c r="T61" s="620"/>
      <c r="U61" s="577"/>
      <c r="V61" s="578">
        <f>'8 RAHOITUSSUUNNITELMA'!H14/1000</f>
        <v>0</v>
      </c>
      <c r="W61" s="578">
        <f>'8 RAHOITUSSUUNNITELMA'!I14/1000</f>
        <v>0</v>
      </c>
      <c r="X61" s="578">
        <f>'8 RAHOITUSSUUNNITELMA'!J14/1000</f>
        <v>0</v>
      </c>
      <c r="Y61" s="578">
        <f>'8 RAHOITUSSUUNNITELMA'!K14/1000</f>
        <v>0</v>
      </c>
      <c r="AA61" s="632">
        <f>'4 LAINAT'!C39</f>
        <v>0</v>
      </c>
      <c r="AB61" s="578">
        <f>'4 LAINAT'!D39/1000</f>
        <v>0</v>
      </c>
      <c r="AC61" s="580">
        <f>'4 LAINAT'!E39</f>
        <v>0</v>
      </c>
      <c r="AD61" s="635">
        <f>'4 LAINAT'!F39</f>
        <v>0</v>
      </c>
      <c r="AE61" s="578">
        <f>'4 LAINAT'!G39/1000</f>
        <v>0</v>
      </c>
      <c r="AF61" s="578">
        <f>'4 LAINAT'!H39/1000</f>
        <v>0</v>
      </c>
      <c r="AG61" s="578">
        <f>'4 LAINAT'!I39/1000</f>
        <v>0</v>
      </c>
      <c r="AH61" s="578">
        <f>'4 LAINAT'!J39/1000</f>
        <v>0</v>
      </c>
      <c r="AI61" s="578">
        <f>'4 LAINAT'!K39/1000</f>
        <v>0</v>
      </c>
      <c r="AJ61" s="578">
        <f>'4 LAINAT'!L39/1000</f>
        <v>0</v>
      </c>
      <c r="AK61" s="578">
        <f>'4 LAINAT'!M39/1000</f>
        <v>0</v>
      </c>
      <c r="AL61" s="578">
        <f>'4 LAINAT'!N39/1000</f>
        <v>0</v>
      </c>
      <c r="AM61" s="578">
        <f>'4 LAINAT'!O39/1000</f>
        <v>0</v>
      </c>
      <c r="AN61" s="578">
        <f>'4 LAINAT'!P39/1000</f>
        <v>0</v>
      </c>
      <c r="AO61" s="578">
        <f>'4 LAINAT'!Q39/1000</f>
        <v>0</v>
      </c>
      <c r="AP61" s="578">
        <f>'4 LAINAT'!R39/1000</f>
        <v>0</v>
      </c>
    </row>
    <row r="62" spans="3:42" x14ac:dyDescent="0.3">
      <c r="C62" s="576" t="s">
        <v>291</v>
      </c>
      <c r="D62" s="612" t="s">
        <v>584</v>
      </c>
      <c r="E62" s="581">
        <f>'2 &amp; 7 TULOSSUUNNITELMA'!F20/1000</f>
        <v>0</v>
      </c>
      <c r="F62" s="609"/>
      <c r="G62" s="581">
        <f>'2 &amp; 7 TULOSSUUNNITELMA'!H20/1000</f>
        <v>0</v>
      </c>
      <c r="H62" s="581"/>
      <c r="I62" s="581">
        <f>'2 &amp; 7 TULOSSUUNNITELMA'!J20/1000</f>
        <v>0</v>
      </c>
      <c r="J62" s="581"/>
      <c r="K62" s="581">
        <f>'2 &amp; 7 TULOSSUUNNITELMA'!L20/1000</f>
        <v>0</v>
      </c>
      <c r="L62" s="581"/>
      <c r="M62" s="581">
        <f>'2 &amp; 7 TULOSSUUNNITELMA'!N20/1000</f>
        <v>0</v>
      </c>
      <c r="N62" s="581"/>
      <c r="O62" s="581">
        <f>'2 &amp; 7 TULOSSUUNNITELMA'!P20/1000</f>
        <v>0</v>
      </c>
      <c r="P62" s="580"/>
      <c r="R62" s="576"/>
      <c r="S62" s="620" t="s">
        <v>823</v>
      </c>
      <c r="T62" s="620"/>
      <c r="U62" s="577"/>
      <c r="V62" s="578">
        <f>'8 RAHOITUSSUUNNITELMA'!H15/1000</f>
        <v>0</v>
      </c>
      <c r="W62" s="578">
        <f>'8 RAHOITUSSUUNNITELMA'!I15/1000</f>
        <v>0</v>
      </c>
      <c r="X62" s="578">
        <f>'8 RAHOITUSSUUNNITELMA'!J15/1000</f>
        <v>0</v>
      </c>
      <c r="Y62" s="578">
        <f>'8 RAHOITUSSUUNNITELMA'!K15/1000</f>
        <v>0</v>
      </c>
      <c r="AA62" s="633" t="str">
        <f>'4 LAINAT'!C40</f>
        <v>Uudet lainat yhteensä</v>
      </c>
      <c r="AB62" s="581">
        <f>'4 LAINAT'!D40/1000</f>
        <v>0</v>
      </c>
      <c r="AC62" s="636"/>
      <c r="AD62" s="636"/>
      <c r="AE62" s="581">
        <f>'4 LAINAT'!G40/1000</f>
        <v>0</v>
      </c>
      <c r="AF62" s="581">
        <f>'4 LAINAT'!H40/1000</f>
        <v>0</v>
      </c>
      <c r="AG62" s="581">
        <f>'4 LAINAT'!I40/1000</f>
        <v>0</v>
      </c>
      <c r="AH62" s="581">
        <f>'4 LAINAT'!J40/1000</f>
        <v>0</v>
      </c>
      <c r="AI62" s="581">
        <f>'4 LAINAT'!K40/1000</f>
        <v>0</v>
      </c>
      <c r="AJ62" s="581">
        <f>'4 LAINAT'!L40/1000</f>
        <v>0</v>
      </c>
      <c r="AK62" s="581">
        <f>'4 LAINAT'!M40/1000</f>
        <v>0</v>
      </c>
      <c r="AL62" s="581">
        <f>'4 LAINAT'!N40/1000</f>
        <v>0</v>
      </c>
      <c r="AM62" s="581">
        <f>'4 LAINAT'!O40/1000</f>
        <v>0</v>
      </c>
      <c r="AN62" s="581">
        <f>'4 LAINAT'!P40/1000</f>
        <v>0</v>
      </c>
      <c r="AO62" s="581">
        <f>'4 LAINAT'!Q40/1000</f>
        <v>0</v>
      </c>
      <c r="AP62" s="581">
        <f>'4 LAINAT'!R40/1000</f>
        <v>0</v>
      </c>
    </row>
    <row r="63" spans="3:42" x14ac:dyDescent="0.3">
      <c r="C63" s="576" t="s">
        <v>292</v>
      </c>
      <c r="D63" s="577" t="s">
        <v>214</v>
      </c>
      <c r="E63" s="578">
        <f>'2 &amp; 7 TULOSSUUNNITELMA'!F21/1000</f>
        <v>0</v>
      </c>
      <c r="F63" s="580"/>
      <c r="G63" s="578">
        <f>'2 &amp; 7 TULOSSUUNNITELMA'!H21/1000</f>
        <v>0</v>
      </c>
      <c r="H63" s="578"/>
      <c r="I63" s="578">
        <f>'2 &amp; 7 TULOSSUUNNITELMA'!J21/1000</f>
        <v>0</v>
      </c>
      <c r="J63" s="578"/>
      <c r="K63" s="578">
        <f>'2 &amp; 7 TULOSSUUNNITELMA'!L21/1000</f>
        <v>0</v>
      </c>
      <c r="L63" s="578"/>
      <c r="M63" s="578">
        <f>'2 &amp; 7 TULOSSUUNNITELMA'!N21/1000</f>
        <v>0</v>
      </c>
      <c r="N63" s="578"/>
      <c r="O63" s="578">
        <f>'2 &amp; 7 TULOSSUUNNITELMA'!P21/1000</f>
        <v>0</v>
      </c>
      <c r="P63" s="580"/>
      <c r="R63" s="611"/>
      <c r="S63" s="621" t="s">
        <v>824</v>
      </c>
      <c r="T63" s="621"/>
      <c r="U63" s="612"/>
      <c r="V63" s="581">
        <f>'8 RAHOITUSSUUNNITELMA'!H16/1000</f>
        <v>0</v>
      </c>
      <c r="W63" s="581">
        <f>'8 RAHOITUSSUUNNITELMA'!I16/1000</f>
        <v>0</v>
      </c>
      <c r="X63" s="581">
        <f>'8 RAHOITUSSUUNNITELMA'!J16/1000</f>
        <v>0</v>
      </c>
      <c r="Y63" s="581">
        <f>'8 RAHOITUSSUUNNITELMA'!K16/1000</f>
        <v>0</v>
      </c>
    </row>
    <row r="64" spans="3:42" x14ac:dyDescent="0.3">
      <c r="C64" s="576" t="s">
        <v>297</v>
      </c>
      <c r="D64" s="612" t="s">
        <v>220</v>
      </c>
      <c r="E64" s="581">
        <f>'2 &amp; 7 TULOSSUUNNITELMA'!F22/1000</f>
        <v>0</v>
      </c>
      <c r="F64" s="609"/>
      <c r="G64" s="581">
        <f>'2 &amp; 7 TULOSSUUNNITELMA'!H22/1000</f>
        <v>0</v>
      </c>
      <c r="H64" s="581"/>
      <c r="I64" s="581">
        <f>'2 &amp; 7 TULOSSUUNNITELMA'!J22/1000</f>
        <v>0</v>
      </c>
      <c r="J64" s="581"/>
      <c r="K64" s="581">
        <f>'2 &amp; 7 TULOSSUUNNITELMA'!L22/1000</f>
        <v>0</v>
      </c>
      <c r="L64" s="581"/>
      <c r="M64" s="581">
        <f>'2 &amp; 7 TULOSSUUNNITELMA'!N22/1000</f>
        <v>0</v>
      </c>
      <c r="N64" s="581"/>
      <c r="O64" s="581">
        <f>'2 &amp; 7 TULOSSUUNNITELMA'!P22/1000</f>
        <v>0</v>
      </c>
      <c r="P64" s="580"/>
      <c r="R64" s="611" t="s">
        <v>288</v>
      </c>
      <c r="S64" s="620"/>
      <c r="T64" s="620"/>
      <c r="U64" s="577"/>
      <c r="V64" s="578"/>
      <c r="W64" s="578"/>
      <c r="X64" s="578"/>
      <c r="Y64" s="578"/>
      <c r="AA64" s="597"/>
      <c r="AB64" s="1117" t="s">
        <v>859</v>
      </c>
      <c r="AC64" s="1117" t="s">
        <v>860</v>
      </c>
      <c r="AD64" s="1117" t="s">
        <v>567</v>
      </c>
    </row>
    <row r="65" spans="3:42" x14ac:dyDescent="0.3">
      <c r="C65" s="576" t="s">
        <v>299</v>
      </c>
      <c r="D65" s="577" t="s">
        <v>216</v>
      </c>
      <c r="E65" s="578">
        <f>'2 &amp; 7 TULOSSUUNNITELMA'!F23/1000</f>
        <v>0</v>
      </c>
      <c r="F65" s="580"/>
      <c r="G65" s="578">
        <f>'2 &amp; 7 TULOSSUUNNITELMA'!H23/1000</f>
        <v>0</v>
      </c>
      <c r="H65" s="578"/>
      <c r="I65" s="578">
        <f>'2 &amp; 7 TULOSSUUNNITELMA'!J23/1000</f>
        <v>0</v>
      </c>
      <c r="J65" s="578"/>
      <c r="K65" s="578">
        <f>'2 &amp; 7 TULOSSUUNNITELMA'!L23/1000</f>
        <v>0</v>
      </c>
      <c r="L65" s="578"/>
      <c r="M65" s="578">
        <f>'2 &amp; 7 TULOSSUUNNITELMA'!N23/1000</f>
        <v>0</v>
      </c>
      <c r="N65" s="578"/>
      <c r="O65" s="578">
        <f>'2 &amp; 7 TULOSSUUNNITELMA'!P23/1000</f>
        <v>0</v>
      </c>
      <c r="P65" s="580"/>
      <c r="R65" s="576"/>
      <c r="S65" s="620" t="s">
        <v>825</v>
      </c>
      <c r="T65" s="620"/>
      <c r="U65" s="577"/>
      <c r="V65" s="578">
        <f>('8 RAHOITUSSUUNNITELMA'!H19+'8 RAHOITUSSUUNNITELMA'!H20+'8 RAHOITUSSUUNNITELMA'!H21+'8 RAHOITUSSUUNNITELMA'!H22)/1000</f>
        <v>0</v>
      </c>
      <c r="W65" s="578">
        <f>('8 RAHOITUSSUUNNITELMA'!I19+'8 RAHOITUSSUUNNITELMA'!I20+'8 RAHOITUSSUUNNITELMA'!I21+'8 RAHOITUSSUUNNITELMA'!I22)/1000</f>
        <v>0</v>
      </c>
      <c r="X65" s="578">
        <f>('8 RAHOITUSSUUNNITELMA'!J19+'8 RAHOITUSSUUNNITELMA'!J20+'8 RAHOITUSSUUNNITELMA'!J21+'8 RAHOITUSSUUNNITELMA'!J22)/1000</f>
        <v>0</v>
      </c>
      <c r="Y65" s="578">
        <f>('8 RAHOITUSSUUNNITELMA'!K19+'8 RAHOITUSSUUNNITELMA'!K20+'8 RAHOITUSSUUNNITELMA'!K21+'8 RAHOITUSSUUNNITELMA'!K22)/1000</f>
        <v>0</v>
      </c>
      <c r="AA65" s="630"/>
      <c r="AB65" s="1117"/>
      <c r="AC65" s="1117"/>
      <c r="AD65" s="1117"/>
      <c r="AE65" s="1118" t="str">
        <f>'4 LAINAT'!G21</f>
        <v>Ennuste 1</v>
      </c>
      <c r="AF65" s="1119"/>
      <c r="AG65" s="1119"/>
      <c r="AH65" s="1118" t="str">
        <f>'4 LAINAT'!J21</f>
        <v>Ennuste 2</v>
      </c>
      <c r="AI65" s="1119"/>
      <c r="AJ65" s="1119"/>
      <c r="AK65" s="1118" t="str">
        <f>'4 LAINAT'!M21</f>
        <v>Ennuste 3</v>
      </c>
      <c r="AL65" s="1119"/>
      <c r="AM65" s="1119"/>
      <c r="AN65" s="1118" t="str">
        <f>'4 LAINAT'!P21</f>
        <v>Ennuste 4</v>
      </c>
      <c r="AO65" s="1119"/>
      <c r="AP65" s="1120"/>
    </row>
    <row r="66" spans="3:42" x14ac:dyDescent="0.3">
      <c r="C66" s="576" t="s">
        <v>300</v>
      </c>
      <c r="D66" s="577" t="s">
        <v>217</v>
      </c>
      <c r="E66" s="578">
        <f>'2 &amp; 7 TULOSSUUNNITELMA'!F24/1000</f>
        <v>0</v>
      </c>
      <c r="F66" s="580"/>
      <c r="G66" s="578">
        <f>'2 &amp; 7 TULOSSUUNNITELMA'!H24/1000</f>
        <v>0</v>
      </c>
      <c r="H66" s="578"/>
      <c r="I66" s="578">
        <f>'2 &amp; 7 TULOSSUUNNITELMA'!J24/1000</f>
        <v>0</v>
      </c>
      <c r="J66" s="578"/>
      <c r="K66" s="578">
        <f>'2 &amp; 7 TULOSSUUNNITELMA'!L24/1000</f>
        <v>0</v>
      </c>
      <c r="L66" s="578"/>
      <c r="M66" s="578">
        <f>'2 &amp; 7 TULOSSUUNNITELMA'!N24/1000</f>
        <v>0</v>
      </c>
      <c r="N66" s="578"/>
      <c r="O66" s="578">
        <f>'2 &amp; 7 TULOSSUUNNITELMA'!P24/1000</f>
        <v>0</v>
      </c>
      <c r="P66" s="580"/>
      <c r="R66" s="576"/>
      <c r="S66" s="620" t="s">
        <v>826</v>
      </c>
      <c r="T66" s="620"/>
      <c r="U66" s="577"/>
      <c r="V66" s="578">
        <f>'8 RAHOITUSSUUNNITELMA'!H23/1000</f>
        <v>0</v>
      </c>
      <c r="W66" s="578">
        <f>'8 RAHOITUSSUUNNITELMA'!I23/1000</f>
        <v>0</v>
      </c>
      <c r="X66" s="578">
        <f>'8 RAHOITUSSUUNNITELMA'!J23/1000</f>
        <v>0</v>
      </c>
      <c r="Y66" s="578">
        <f>'8 RAHOITUSSUUNNITELMA'!K23/1000</f>
        <v>0</v>
      </c>
      <c r="AA66" s="630"/>
      <c r="AB66" s="1117"/>
      <c r="AC66" s="1117"/>
      <c r="AD66" s="1117"/>
      <c r="AE66" s="1121">
        <f>'4 LAINAT'!G22</f>
        <v>2026</v>
      </c>
      <c r="AF66" s="1122"/>
      <c r="AG66" s="1123"/>
      <c r="AH66" s="1121">
        <f>'4 LAINAT'!J22</f>
        <v>2027</v>
      </c>
      <c r="AI66" s="1122"/>
      <c r="AJ66" s="1123"/>
      <c r="AK66" s="1121">
        <f>'4 LAINAT'!M22</f>
        <v>2028</v>
      </c>
      <c r="AL66" s="1122"/>
      <c r="AM66" s="1123"/>
      <c r="AN66" s="1121">
        <f>'4 LAINAT'!P22</f>
        <v>2029</v>
      </c>
      <c r="AO66" s="1122"/>
      <c r="AP66" s="1123"/>
    </row>
    <row r="67" spans="3:42" x14ac:dyDescent="0.3">
      <c r="C67" s="576" t="s">
        <v>301</v>
      </c>
      <c r="D67" s="577" t="s">
        <v>218</v>
      </c>
      <c r="E67" s="578">
        <f>'2 &amp; 7 TULOSSUUNNITELMA'!F25/1000</f>
        <v>0</v>
      </c>
      <c r="F67" s="580"/>
      <c r="G67" s="578">
        <f>'2 &amp; 7 TULOSSUUNNITELMA'!H25/1000</f>
        <v>0</v>
      </c>
      <c r="H67" s="578"/>
      <c r="I67" s="578">
        <f>'2 &amp; 7 TULOSSUUNNITELMA'!J25/1000</f>
        <v>0</v>
      </c>
      <c r="J67" s="578"/>
      <c r="K67" s="578">
        <f>'2 &amp; 7 TULOSSUUNNITELMA'!L25/1000</f>
        <v>0</v>
      </c>
      <c r="L67" s="578"/>
      <c r="M67" s="578">
        <f>'2 &amp; 7 TULOSSUUNNITELMA'!N25/1000</f>
        <v>0</v>
      </c>
      <c r="N67" s="578"/>
      <c r="O67" s="578">
        <f>'2 &amp; 7 TULOSSUUNNITELMA'!P25/1000</f>
        <v>0</v>
      </c>
      <c r="P67" s="580"/>
      <c r="R67" s="576"/>
      <c r="S67" s="620" t="s">
        <v>827</v>
      </c>
      <c r="T67" s="620"/>
      <c r="U67" s="577"/>
      <c r="V67" s="578">
        <f>'8 RAHOITUSSUUNNITELMA'!H24/1000</f>
        <v>0</v>
      </c>
      <c r="W67" s="578">
        <f>'8 RAHOITUSSUUNNITELMA'!I24/1000</f>
        <v>0</v>
      </c>
      <c r="X67" s="578">
        <f>'8 RAHOITUSSUUNNITELMA'!J24/1000</f>
        <v>0</v>
      </c>
      <c r="Y67" s="578">
        <f>'8 RAHOITUSSUUNNITELMA'!K24/1000</f>
        <v>0</v>
      </c>
      <c r="AA67" s="595" t="s">
        <v>862</v>
      </c>
      <c r="AB67" s="1117"/>
      <c r="AC67" s="1117"/>
      <c r="AD67" s="1117"/>
      <c r="AE67" s="805" t="s">
        <v>602</v>
      </c>
      <c r="AF67" s="805" t="s">
        <v>861</v>
      </c>
      <c r="AG67" s="805" t="s">
        <v>163</v>
      </c>
      <c r="AH67" s="805" t="s">
        <v>602</v>
      </c>
      <c r="AI67" s="805" t="s">
        <v>861</v>
      </c>
      <c r="AJ67" s="805" t="s">
        <v>163</v>
      </c>
      <c r="AK67" s="805" t="s">
        <v>602</v>
      </c>
      <c r="AL67" s="805" t="s">
        <v>861</v>
      </c>
      <c r="AM67" s="805" t="s">
        <v>163</v>
      </c>
      <c r="AN67" s="805" t="s">
        <v>602</v>
      </c>
      <c r="AO67" s="805" t="s">
        <v>861</v>
      </c>
      <c r="AP67" s="805" t="s">
        <v>163</v>
      </c>
    </row>
    <row r="68" spans="3:42" x14ac:dyDescent="0.3">
      <c r="C68" s="576" t="s">
        <v>302</v>
      </c>
      <c r="D68" s="612" t="s">
        <v>221</v>
      </c>
      <c r="E68" s="581">
        <f>'2 &amp; 7 TULOSSUUNNITELMA'!F26/1000</f>
        <v>0</v>
      </c>
      <c r="F68" s="609"/>
      <c r="G68" s="581">
        <f>'2 &amp; 7 TULOSSUUNNITELMA'!H26/1000</f>
        <v>0</v>
      </c>
      <c r="H68" s="581"/>
      <c r="I68" s="581">
        <f>'2 &amp; 7 TULOSSUUNNITELMA'!J26/1000</f>
        <v>0</v>
      </c>
      <c r="J68" s="581"/>
      <c r="K68" s="581">
        <f>'2 &amp; 7 TULOSSUUNNITELMA'!L26/1000</f>
        <v>0</v>
      </c>
      <c r="L68" s="581"/>
      <c r="M68" s="581">
        <f>'2 &amp; 7 TULOSSUUNNITELMA'!N26/1000</f>
        <v>0</v>
      </c>
      <c r="N68" s="581"/>
      <c r="O68" s="581">
        <f>'2 &amp; 7 TULOSSUUNNITELMA'!P26/1000</f>
        <v>0</v>
      </c>
      <c r="P68" s="580"/>
      <c r="R68" s="576"/>
      <c r="S68" s="620" t="s">
        <v>828</v>
      </c>
      <c r="T68" s="620"/>
      <c r="U68" s="577"/>
      <c r="V68" s="578">
        <f>'8 RAHOITUSSUUNNITELMA'!H25/1000</f>
        <v>0</v>
      </c>
      <c r="W68" s="578">
        <f>'8 RAHOITUSSUUNNITELMA'!I25/1000</f>
        <v>0</v>
      </c>
      <c r="X68" s="578">
        <f>'8 RAHOITUSSUUNNITELMA'!J25/1000</f>
        <v>0</v>
      </c>
      <c r="Y68" s="578">
        <f>'8 RAHOITUSSUUNNITELMA'!K25/1000</f>
        <v>0</v>
      </c>
      <c r="AA68" s="580" t="str">
        <f>'4 LAINAT'!C42</f>
        <v>Rahoittaja/rahoitettava kohde 1. vuosi</v>
      </c>
      <c r="AB68" s="578">
        <f>'4 LAINAT'!D42/1000</f>
        <v>0</v>
      </c>
      <c r="AC68" s="580">
        <f>'4 LAINAT'!E42</f>
        <v>0</v>
      </c>
      <c r="AD68" s="635">
        <f>'4 LAINAT'!F42</f>
        <v>0</v>
      </c>
      <c r="AE68" s="578">
        <f>'4 LAINAT'!G42/1000</f>
        <v>0</v>
      </c>
      <c r="AF68" s="578">
        <f>'4 LAINAT'!H42/1000</f>
        <v>0</v>
      </c>
      <c r="AG68" s="578">
        <f>'4 LAINAT'!I42/1000</f>
        <v>0</v>
      </c>
      <c r="AH68" s="578">
        <f>'4 LAINAT'!J42/1000</f>
        <v>0</v>
      </c>
      <c r="AI68" s="578">
        <f>'4 LAINAT'!K42/1000</f>
        <v>0</v>
      </c>
      <c r="AJ68" s="578">
        <f>'4 LAINAT'!L42/1000</f>
        <v>0</v>
      </c>
      <c r="AK68" s="578">
        <f>'4 LAINAT'!M42/1000</f>
        <v>0</v>
      </c>
      <c r="AL68" s="578">
        <f>'4 LAINAT'!N42/1000</f>
        <v>0</v>
      </c>
      <c r="AM68" s="578">
        <f>'4 LAINAT'!O42/1000</f>
        <v>0</v>
      </c>
      <c r="AN68" s="578">
        <f>'4 LAINAT'!P42/1000</f>
        <v>0</v>
      </c>
      <c r="AO68" s="578">
        <f>'4 LAINAT'!Q42/1000</f>
        <v>0</v>
      </c>
      <c r="AP68" s="578">
        <f>'4 LAINAT'!R42/1000</f>
        <v>0</v>
      </c>
    </row>
    <row r="69" spans="3:42" x14ac:dyDescent="0.3">
      <c r="C69" s="582" t="s">
        <v>303</v>
      </c>
      <c r="D69" s="583" t="s">
        <v>69</v>
      </c>
      <c r="E69" s="578">
        <f>'2 &amp; 7 TULOSSUUNNITELMA'!F27/1000</f>
        <v>0</v>
      </c>
      <c r="F69" s="580"/>
      <c r="G69" s="578">
        <f>'2 &amp; 7 TULOSSUUNNITELMA'!H27/1000</f>
        <v>0</v>
      </c>
      <c r="H69" s="578"/>
      <c r="I69" s="578">
        <f>'2 &amp; 7 TULOSSUUNNITELMA'!J27/1000</f>
        <v>0</v>
      </c>
      <c r="J69" s="578"/>
      <c r="K69" s="578">
        <f>'2 &amp; 7 TULOSSUUNNITELMA'!L27/1000</f>
        <v>0</v>
      </c>
      <c r="L69" s="578"/>
      <c r="M69" s="578">
        <f>'2 &amp; 7 TULOSSUUNNITELMA'!N27/1000</f>
        <v>0</v>
      </c>
      <c r="N69" s="578"/>
      <c r="O69" s="578">
        <f>'2 &amp; 7 TULOSSUUNNITELMA'!P27/1000</f>
        <v>0</v>
      </c>
      <c r="P69" s="580"/>
      <c r="R69" s="576"/>
      <c r="S69" s="620" t="s">
        <v>829</v>
      </c>
      <c r="T69" s="620"/>
      <c r="U69" s="577"/>
      <c r="V69" s="578">
        <f>('8 RAHOITUSSUUNNITELMA'!H26+'8 RAHOITUSSUUNNITELMA'!H27)/1000</f>
        <v>0</v>
      </c>
      <c r="W69" s="578">
        <f>('8 RAHOITUSSUUNNITELMA'!I26+'8 RAHOITUSSUUNNITELMA'!I27)/1000</f>
        <v>0</v>
      </c>
      <c r="X69" s="578">
        <f>('8 RAHOITUSSUUNNITELMA'!J26+'8 RAHOITUSSUUNNITELMA'!J27)/1000</f>
        <v>0</v>
      </c>
      <c r="Y69" s="578">
        <f>('8 RAHOITUSSUUNNITELMA'!K26+'8 RAHOITUSSUUNNITELMA'!K27)/1000</f>
        <v>0</v>
      </c>
      <c r="AA69" s="580" t="str">
        <f>'4 LAINAT'!C43</f>
        <v>Rahoittaja/rahoitettava kohde 2. vuosi</v>
      </c>
      <c r="AB69" s="578">
        <f>'4 LAINAT'!D43/1000</f>
        <v>0</v>
      </c>
      <c r="AC69" s="580">
        <f>'4 LAINAT'!E43</f>
        <v>0</v>
      </c>
      <c r="AD69" s="635">
        <f>'4 LAINAT'!F43</f>
        <v>0</v>
      </c>
      <c r="AE69" s="578">
        <f>'4 LAINAT'!G43/1000</f>
        <v>0</v>
      </c>
      <c r="AF69" s="578">
        <f>'4 LAINAT'!H43/1000</f>
        <v>0</v>
      </c>
      <c r="AG69" s="578">
        <f>'4 LAINAT'!I43/1000</f>
        <v>0</v>
      </c>
      <c r="AH69" s="578">
        <f>'4 LAINAT'!J43/1000</f>
        <v>0</v>
      </c>
      <c r="AI69" s="578">
        <f>'4 LAINAT'!K43/1000</f>
        <v>0</v>
      </c>
      <c r="AJ69" s="578">
        <f>'4 LAINAT'!L43/1000</f>
        <v>0</v>
      </c>
      <c r="AK69" s="578">
        <f>'4 LAINAT'!M43/1000</f>
        <v>0</v>
      </c>
      <c r="AL69" s="578">
        <f>'4 LAINAT'!N43/1000</f>
        <v>0</v>
      </c>
      <c r="AM69" s="578">
        <f>'4 LAINAT'!O43/1000</f>
        <v>0</v>
      </c>
      <c r="AN69" s="578">
        <f>'4 LAINAT'!P43/1000</f>
        <v>0</v>
      </c>
      <c r="AO69" s="578">
        <f>'4 LAINAT'!Q43/1000</f>
        <v>0</v>
      </c>
      <c r="AP69" s="578">
        <f>'4 LAINAT'!R43/1000</f>
        <v>0</v>
      </c>
    </row>
    <row r="70" spans="3:42" x14ac:dyDescent="0.3">
      <c r="C70" s="576" t="s">
        <v>304</v>
      </c>
      <c r="D70" s="577" t="s">
        <v>226</v>
      </c>
      <c r="E70" s="578">
        <f>'2 &amp; 7 TULOSSUUNNITELMA'!F29/1000</f>
        <v>0</v>
      </c>
      <c r="F70" s="580"/>
      <c r="G70" s="578">
        <f>'2 &amp; 7 TULOSSUUNNITELMA'!H29/1000</f>
        <v>0</v>
      </c>
      <c r="H70" s="578"/>
      <c r="I70" s="578">
        <f>'2 &amp; 7 TULOSSUUNNITELMA'!J29/1000</f>
        <v>0</v>
      </c>
      <c r="J70" s="578"/>
      <c r="K70" s="578">
        <f>'2 &amp; 7 TULOSSUUNNITELMA'!L29/1000</f>
        <v>0</v>
      </c>
      <c r="L70" s="578"/>
      <c r="M70" s="578">
        <f>'2 &amp; 7 TULOSSUUNNITELMA'!N29/1000</f>
        <v>0</v>
      </c>
      <c r="N70" s="578"/>
      <c r="O70" s="578">
        <f>'2 &amp; 7 TULOSSUUNNITELMA'!P29/1000</f>
        <v>0</v>
      </c>
      <c r="P70" s="580"/>
      <c r="R70" s="576"/>
      <c r="S70" s="620" t="s">
        <v>832</v>
      </c>
      <c r="T70" s="620"/>
      <c r="U70" s="577"/>
      <c r="V70" s="578">
        <f>('8 RAHOITUSSUUNNITELMA'!H28+'8 RAHOITUSSUUNNITELMA'!H29)/1000</f>
        <v>0</v>
      </c>
      <c r="W70" s="578">
        <f>('8 RAHOITUSSUUNNITELMA'!I28+'8 RAHOITUSSUUNNITELMA'!I29)/1000</f>
        <v>0</v>
      </c>
      <c r="X70" s="578">
        <f>('8 RAHOITUSSUUNNITELMA'!J28+'8 RAHOITUSSUUNNITELMA'!J29)/1000</f>
        <v>0</v>
      </c>
      <c r="Y70" s="578">
        <f>('8 RAHOITUSSUUNNITELMA'!K28+'8 RAHOITUSSUUNNITELMA'!K29)/1000</f>
        <v>0</v>
      </c>
      <c r="AA70" s="580" t="str">
        <f>'4 LAINAT'!C44</f>
        <v>Rahoittaja/rahoitettava kohde 3. vuosi</v>
      </c>
      <c r="AB70" s="578">
        <f>'4 LAINAT'!D44/1000</f>
        <v>0</v>
      </c>
      <c r="AC70" s="580">
        <f>'4 LAINAT'!E44</f>
        <v>0</v>
      </c>
      <c r="AD70" s="635">
        <f>'4 LAINAT'!F44</f>
        <v>0</v>
      </c>
      <c r="AE70" s="578">
        <f>'4 LAINAT'!G44/1000</f>
        <v>0</v>
      </c>
      <c r="AF70" s="578">
        <f>'4 LAINAT'!H44/1000</f>
        <v>0</v>
      </c>
      <c r="AG70" s="578">
        <f>'4 LAINAT'!I44/1000</f>
        <v>0</v>
      </c>
      <c r="AH70" s="578">
        <f>'4 LAINAT'!J44/1000</f>
        <v>0</v>
      </c>
      <c r="AI70" s="578">
        <f>'4 LAINAT'!K44/1000</f>
        <v>0</v>
      </c>
      <c r="AJ70" s="578">
        <f>'4 LAINAT'!L44/1000</f>
        <v>0</v>
      </c>
      <c r="AK70" s="578">
        <f>'4 LAINAT'!M44/1000</f>
        <v>0</v>
      </c>
      <c r="AL70" s="578">
        <f>'4 LAINAT'!N44/1000</f>
        <v>0</v>
      </c>
      <c r="AM70" s="578">
        <f>'4 LAINAT'!O44/1000</f>
        <v>0</v>
      </c>
      <c r="AN70" s="578">
        <f>'4 LAINAT'!P44/1000</f>
        <v>0</v>
      </c>
      <c r="AO70" s="578">
        <f>'4 LAINAT'!Q44/1000</f>
        <v>0</v>
      </c>
      <c r="AP70" s="578">
        <f>'4 LAINAT'!R44/1000</f>
        <v>0</v>
      </c>
    </row>
    <row r="71" spans="3:42" x14ac:dyDescent="0.3">
      <c r="C71" s="576" t="s">
        <v>305</v>
      </c>
      <c r="D71" s="577" t="s">
        <v>228</v>
      </c>
      <c r="E71" s="578">
        <f>'2 &amp; 7 TULOSSUUNNITELMA'!F30/1000</f>
        <v>0</v>
      </c>
      <c r="F71" s="580"/>
      <c r="G71" s="578">
        <f>'2 &amp; 7 TULOSSUUNNITELMA'!H30/1000</f>
        <v>0</v>
      </c>
      <c r="H71" s="578"/>
      <c r="I71" s="578">
        <f>'2 &amp; 7 TULOSSUUNNITELMA'!J30/1000</f>
        <v>0</v>
      </c>
      <c r="J71" s="578"/>
      <c r="K71" s="578">
        <f>'2 &amp; 7 TULOSSUUNNITELMA'!L30/1000</f>
        <v>0</v>
      </c>
      <c r="L71" s="578"/>
      <c r="M71" s="578">
        <f>'2 &amp; 7 TULOSSUUNNITELMA'!N30/1000</f>
        <v>0</v>
      </c>
      <c r="N71" s="578"/>
      <c r="O71" s="578">
        <f>'2 &amp; 7 TULOSSUUNNITELMA'!P30/1000</f>
        <v>0</v>
      </c>
      <c r="P71" s="580"/>
      <c r="R71" s="576"/>
      <c r="S71" s="620" t="s">
        <v>830</v>
      </c>
      <c r="T71" s="620"/>
      <c r="U71" s="577"/>
      <c r="V71" s="578">
        <f>'8 RAHOITUSSUUNNITELMA'!H30/1000</f>
        <v>0</v>
      </c>
      <c r="W71" s="578">
        <f>'8 RAHOITUSSUUNNITELMA'!I30/1000</f>
        <v>0</v>
      </c>
      <c r="X71" s="578">
        <f>'8 RAHOITUSSUUNNITELMA'!J30/1000</f>
        <v>0</v>
      </c>
      <c r="Y71" s="578">
        <f>'8 RAHOITUSSUUNNITELMA'!K30/1000</f>
        <v>0</v>
      </c>
      <c r="AA71" s="580" t="str">
        <f>'4 LAINAT'!C45</f>
        <v>Rahoittaja/rahoitettava kohde 4. vuosi</v>
      </c>
      <c r="AB71" s="578">
        <f>'4 LAINAT'!D45/1000</f>
        <v>0</v>
      </c>
      <c r="AC71" s="580">
        <f>'4 LAINAT'!E45</f>
        <v>0</v>
      </c>
      <c r="AD71" s="635">
        <f>'4 LAINAT'!F45</f>
        <v>0</v>
      </c>
      <c r="AE71" s="578">
        <f>'4 LAINAT'!G45/1000</f>
        <v>0</v>
      </c>
      <c r="AF71" s="578">
        <f>'4 LAINAT'!H45/1000</f>
        <v>0</v>
      </c>
      <c r="AG71" s="578">
        <f>'4 LAINAT'!I45/1000</f>
        <v>0</v>
      </c>
      <c r="AH71" s="578">
        <f>'4 LAINAT'!J45/1000</f>
        <v>0</v>
      </c>
      <c r="AI71" s="578">
        <f>'4 LAINAT'!K45/1000</f>
        <v>0</v>
      </c>
      <c r="AJ71" s="578">
        <f>'4 LAINAT'!L45/1000</f>
        <v>0</v>
      </c>
      <c r="AK71" s="578">
        <f>'4 LAINAT'!M45/1000</f>
        <v>0</v>
      </c>
      <c r="AL71" s="578">
        <f>'4 LAINAT'!N45/1000</f>
        <v>0</v>
      </c>
      <c r="AM71" s="578">
        <f>'4 LAINAT'!O45/1000</f>
        <v>0</v>
      </c>
      <c r="AN71" s="578">
        <f>'4 LAINAT'!P45/1000</f>
        <v>0</v>
      </c>
      <c r="AO71" s="578">
        <f>'4 LAINAT'!Q45/1000</f>
        <v>0</v>
      </c>
      <c r="AP71" s="578">
        <f>'4 LAINAT'!R45/1000</f>
        <v>0</v>
      </c>
    </row>
    <row r="72" spans="3:42" x14ac:dyDescent="0.3">
      <c r="C72" s="576" t="s">
        <v>306</v>
      </c>
      <c r="D72" s="612" t="s">
        <v>229</v>
      </c>
      <c r="E72" s="581">
        <f>'2 &amp; 7 TULOSSUUNNITELMA'!F31/1000</f>
        <v>0</v>
      </c>
      <c r="F72" s="609"/>
      <c r="G72" s="581">
        <f>'2 &amp; 7 TULOSSUUNNITELMA'!H31/1000</f>
        <v>0</v>
      </c>
      <c r="H72" s="581"/>
      <c r="I72" s="581">
        <f>'2 &amp; 7 TULOSSUUNNITELMA'!J31/1000</f>
        <v>0</v>
      </c>
      <c r="J72" s="581"/>
      <c r="K72" s="581">
        <f>'2 &amp; 7 TULOSSUUNNITELMA'!L31/1000</f>
        <v>0</v>
      </c>
      <c r="L72" s="581"/>
      <c r="M72" s="581">
        <f>'2 &amp; 7 TULOSSUUNNITELMA'!N31/1000</f>
        <v>0</v>
      </c>
      <c r="N72" s="581"/>
      <c r="O72" s="581">
        <f>'2 &amp; 7 TULOSSUUNNITELMA'!P31/1000</f>
        <v>0</v>
      </c>
      <c r="P72" s="580"/>
      <c r="R72" s="576"/>
      <c r="S72" s="620" t="s">
        <v>831</v>
      </c>
      <c r="T72" s="620"/>
      <c r="U72" s="577"/>
      <c r="V72" s="578">
        <f>'8 RAHOITUSSUUNNITELMA'!H31/1000</f>
        <v>0</v>
      </c>
      <c r="W72" s="578">
        <f>'8 RAHOITUSSUUNNITELMA'!I31/1000</f>
        <v>0</v>
      </c>
      <c r="X72" s="578">
        <f>'8 RAHOITUSSUUNNITELMA'!J31/1000</f>
        <v>0</v>
      </c>
      <c r="Y72" s="578">
        <f>'8 RAHOITUSSUUNNITELMA'!K31/1000</f>
        <v>0</v>
      </c>
      <c r="AA72" s="609" t="str">
        <f>'4 LAINAT'!C46</f>
        <v>Uudet osamaksuvelat yhteensä</v>
      </c>
      <c r="AB72" s="581">
        <f>'4 LAINAT'!D46/1000</f>
        <v>0</v>
      </c>
      <c r="AC72" s="636"/>
      <c r="AD72" s="637"/>
      <c r="AE72" s="581">
        <f>'4 LAINAT'!G46/1000</f>
        <v>0</v>
      </c>
      <c r="AF72" s="581">
        <f>'4 LAINAT'!H46/1000</f>
        <v>0</v>
      </c>
      <c r="AG72" s="581">
        <f>'4 LAINAT'!I46/1000</f>
        <v>0</v>
      </c>
      <c r="AH72" s="581">
        <f>'4 LAINAT'!J46/1000</f>
        <v>0</v>
      </c>
      <c r="AI72" s="581">
        <f>'4 LAINAT'!K46/1000</f>
        <v>0</v>
      </c>
      <c r="AJ72" s="581">
        <f>'4 LAINAT'!L46/1000</f>
        <v>0</v>
      </c>
      <c r="AK72" s="581">
        <f>'4 LAINAT'!M46/1000</f>
        <v>0</v>
      </c>
      <c r="AL72" s="581">
        <f>'4 LAINAT'!N46/1000</f>
        <v>0</v>
      </c>
      <c r="AM72" s="581">
        <f>'4 LAINAT'!O46/1000</f>
        <v>0</v>
      </c>
      <c r="AN72" s="581">
        <f>'4 LAINAT'!P46/1000</f>
        <v>0</v>
      </c>
      <c r="AO72" s="581">
        <f>'4 LAINAT'!Q46/1000</f>
        <v>0</v>
      </c>
      <c r="AP72" s="581">
        <f>'4 LAINAT'!R46/1000</f>
        <v>0</v>
      </c>
    </row>
    <row r="73" spans="3:42" x14ac:dyDescent="0.3">
      <c r="C73" s="576"/>
      <c r="D73" s="577" t="s">
        <v>558</v>
      </c>
      <c r="E73" s="1150">
        <f>'2 &amp; 7 TULOSSUUNNITELMA'!F33</f>
        <v>365</v>
      </c>
      <c r="F73" s="1150"/>
      <c r="G73" s="1150">
        <f>'2 &amp; 7 TULOSSUUNNITELMA'!H33</f>
        <v>335</v>
      </c>
      <c r="H73" s="1150"/>
      <c r="I73" s="1150">
        <f>'2 &amp; 7 TULOSSUUNNITELMA'!J33</f>
        <v>335</v>
      </c>
      <c r="J73" s="1150"/>
      <c r="K73" s="1150">
        <f>'2 &amp; 7 TULOSSUUNNITELMA'!L33</f>
        <v>335</v>
      </c>
      <c r="L73" s="1150"/>
      <c r="M73" s="1150">
        <f>'2 &amp; 7 TULOSSUUNNITELMA'!N33</f>
        <v>335</v>
      </c>
      <c r="N73" s="1150"/>
      <c r="O73" s="1150">
        <f>'2 &amp; 7 TULOSSUUNNITELMA'!P33</f>
        <v>335</v>
      </c>
      <c r="P73" s="1150"/>
      <c r="R73" s="576"/>
      <c r="S73" s="620" t="s">
        <v>833</v>
      </c>
      <c r="T73" s="620"/>
      <c r="U73" s="577"/>
      <c r="V73" s="578">
        <f>'8 RAHOITUSSUUNNITELMA'!H32/1000</f>
        <v>0</v>
      </c>
      <c r="W73" s="578">
        <f>'8 RAHOITUSSUUNNITELMA'!I32/1000</f>
        <v>0</v>
      </c>
      <c r="X73" s="578">
        <f>'8 RAHOITUSSUUNNITELMA'!J32/1000</f>
        <v>0</v>
      </c>
      <c r="Y73" s="578">
        <f>'8 RAHOITUSSUUNNITELMA'!K32/1000</f>
        <v>0</v>
      </c>
      <c r="AA73" s="609" t="str">
        <f>'4 LAINAT'!C47</f>
        <v>Lyhytaikaisten lainojen korot</v>
      </c>
      <c r="AB73" s="581">
        <f>'4 LAINAT'!D47/1000</f>
        <v>0</v>
      </c>
      <c r="AC73" s="636"/>
      <c r="AD73" s="638">
        <f>'4 LAINAT'!F47</f>
        <v>0.1</v>
      </c>
      <c r="AE73" s="645"/>
      <c r="AF73" s="645"/>
      <c r="AG73" s="581">
        <f>'4 LAINAT'!I47/1000</f>
        <v>0</v>
      </c>
      <c r="AH73" s="645"/>
      <c r="AI73" s="645"/>
      <c r="AJ73" s="581">
        <f>'4 LAINAT'!L47/1000</f>
        <v>0</v>
      </c>
      <c r="AK73" s="645"/>
      <c r="AL73" s="645"/>
      <c r="AM73" s="581">
        <f>'4 LAINAT'!O47/1000</f>
        <v>0</v>
      </c>
      <c r="AN73" s="645"/>
      <c r="AO73" s="645"/>
      <c r="AP73" s="581">
        <f>'4 LAINAT'!R47/1000</f>
        <v>0</v>
      </c>
    </row>
    <row r="74" spans="3:42" x14ac:dyDescent="0.3">
      <c r="C74" s="576"/>
      <c r="D74" s="577" t="s">
        <v>798</v>
      </c>
      <c r="E74" s="1149"/>
      <c r="F74" s="1149"/>
      <c r="G74" s="1149"/>
      <c r="H74" s="1149"/>
      <c r="I74" s="1149"/>
      <c r="J74" s="1149"/>
      <c r="K74" s="1149"/>
      <c r="L74" s="1149"/>
      <c r="M74" s="1149"/>
      <c r="N74" s="1149"/>
      <c r="O74" s="1149"/>
      <c r="P74" s="1149"/>
      <c r="R74" s="576"/>
      <c r="S74" s="620" t="s">
        <v>834</v>
      </c>
      <c r="T74" s="620"/>
      <c r="U74" s="577"/>
      <c r="V74" s="578">
        <f>'8 RAHOITUSSUUNNITELMA'!H33/1000</f>
        <v>0</v>
      </c>
      <c r="W74" s="578">
        <f>'8 RAHOITUSSUUNNITELMA'!I33/1000</f>
        <v>0</v>
      </c>
      <c r="X74" s="578">
        <f>'8 RAHOITUSSUUNNITELMA'!J33/1000</f>
        <v>0</v>
      </c>
      <c r="Y74" s="578">
        <f>'8 RAHOITUSSUUNNITELMA'!K33/1000</f>
        <v>0</v>
      </c>
      <c r="AA74" s="609" t="str">
        <f>'4 LAINAT'!C48</f>
        <v>Pääomalainan korot</v>
      </c>
      <c r="AB74" s="581">
        <f>'4 LAINAT'!D48/1000</f>
        <v>0</v>
      </c>
      <c r="AC74" s="636"/>
      <c r="AD74" s="638">
        <f>'4 LAINAT'!F48</f>
        <v>0.1</v>
      </c>
      <c r="AE74" s="645"/>
      <c r="AF74" s="645"/>
      <c r="AG74" s="581">
        <f>'4 LAINAT'!I48/1000</f>
        <v>0</v>
      </c>
      <c r="AH74" s="645"/>
      <c r="AI74" s="645"/>
      <c r="AJ74" s="581">
        <f>'4 LAINAT'!L48/1000</f>
        <v>0</v>
      </c>
      <c r="AK74" s="645"/>
      <c r="AL74" s="645"/>
      <c r="AM74" s="581">
        <f>'4 LAINAT'!O48/1000</f>
        <v>0</v>
      </c>
      <c r="AN74" s="645"/>
      <c r="AO74" s="645"/>
      <c r="AP74" s="581">
        <f>'4 LAINAT'!R48/1000</f>
        <v>0</v>
      </c>
    </row>
    <row r="75" spans="3:42" x14ac:dyDescent="0.3">
      <c r="R75" s="576"/>
      <c r="S75" s="620" t="s">
        <v>835</v>
      </c>
      <c r="T75" s="620"/>
      <c r="U75" s="577"/>
      <c r="V75" s="578">
        <f>'8 RAHOITUSSUUNNITELMA'!H34/1000</f>
        <v>0</v>
      </c>
      <c r="W75" s="578">
        <f>'8 RAHOITUSSUUNNITELMA'!I34/1000</f>
        <v>0</v>
      </c>
      <c r="X75" s="578">
        <f>'8 RAHOITUSSUUNNITELMA'!J34/1000</f>
        <v>0</v>
      </c>
      <c r="Y75" s="578">
        <f>'8 RAHOITUSSUUNNITELMA'!K34/1000</f>
        <v>0</v>
      </c>
      <c r="AA75" s="609" t="str">
        <f>'4 LAINAT'!C49</f>
        <v>Korot pitkäaikaisista veloista, ei velkakirjaa</v>
      </c>
      <c r="AB75" s="581">
        <f>'4 LAINAT'!D49/1000</f>
        <v>0</v>
      </c>
      <c r="AC75" s="636"/>
      <c r="AD75" s="638">
        <f>'4 LAINAT'!F49</f>
        <v>0.1</v>
      </c>
      <c r="AE75" s="645"/>
      <c r="AF75" s="645"/>
      <c r="AG75" s="581">
        <f>'4 LAINAT'!I49/1000</f>
        <v>0</v>
      </c>
      <c r="AH75" s="645"/>
      <c r="AI75" s="645"/>
      <c r="AJ75" s="581">
        <f>'4 LAINAT'!L49/1000</f>
        <v>0</v>
      </c>
      <c r="AK75" s="645"/>
      <c r="AL75" s="645"/>
      <c r="AM75" s="581">
        <f>'4 LAINAT'!O49/1000</f>
        <v>0</v>
      </c>
      <c r="AN75" s="645"/>
      <c r="AO75" s="645"/>
      <c r="AP75" s="581">
        <f>'4 LAINAT'!R49/1000</f>
        <v>0</v>
      </c>
    </row>
    <row r="76" spans="3:42" x14ac:dyDescent="0.3">
      <c r="R76" s="576"/>
      <c r="S76" s="620" t="s">
        <v>836</v>
      </c>
      <c r="T76" s="620"/>
      <c r="U76" s="577"/>
      <c r="V76" s="578">
        <f>'8 RAHOITUSSUUNNITELMA'!H35/1000</f>
        <v>0</v>
      </c>
      <c r="W76" s="578">
        <f>'8 RAHOITUSSUUNNITELMA'!I35/1000</f>
        <v>0</v>
      </c>
      <c r="X76" s="578">
        <f>'8 RAHOITUSSUUNNITELMA'!J35/1000</f>
        <v>0</v>
      </c>
      <c r="Y76" s="578">
        <f>'8 RAHOITUSSUUNNITELMA'!K35/1000</f>
        <v>0</v>
      </c>
      <c r="AA76" s="609" t="str">
        <f>'4 LAINAT'!C50</f>
        <v>Lainojen toimitusmaksut, pankkitakausmaksut</v>
      </c>
      <c r="AB76" s="581">
        <f>'4 LAINAT'!D50/1000</f>
        <v>0</v>
      </c>
      <c r="AC76" s="609">
        <f>'4 LAINAT'!E50</f>
        <v>0</v>
      </c>
      <c r="AD76" s="638"/>
      <c r="AE76" s="645"/>
      <c r="AF76" s="645"/>
      <c r="AG76" s="581">
        <f>'4 LAINAT'!I50/1000</f>
        <v>0</v>
      </c>
      <c r="AH76" s="645"/>
      <c r="AI76" s="645"/>
      <c r="AJ76" s="581">
        <f>'4 LAINAT'!L50/1000</f>
        <v>0</v>
      </c>
      <c r="AK76" s="645"/>
      <c r="AL76" s="645"/>
      <c r="AM76" s="581">
        <f>'4 LAINAT'!O50/1000</f>
        <v>0</v>
      </c>
      <c r="AN76" s="645"/>
      <c r="AO76" s="645"/>
      <c r="AP76" s="581">
        <f>'4 LAINAT'!R50/1000</f>
        <v>0</v>
      </c>
    </row>
    <row r="77" spans="3:42" x14ac:dyDescent="0.3">
      <c r="R77" s="576"/>
      <c r="S77" s="621" t="s">
        <v>837</v>
      </c>
      <c r="T77" s="621"/>
      <c r="U77" s="612"/>
      <c r="V77" s="581">
        <f>'8 RAHOITUSSUUNNITELMA'!H36/1000</f>
        <v>0</v>
      </c>
      <c r="W77" s="581">
        <f>'8 RAHOITUSSUUNNITELMA'!I36/1000</f>
        <v>0</v>
      </c>
      <c r="X77" s="581">
        <f>'8 RAHOITUSSUUNNITELMA'!J36/1000</f>
        <v>0</v>
      </c>
      <c r="Y77" s="581">
        <f>'8 RAHOITUSSUUNNITELMA'!K36/1000</f>
        <v>0</v>
      </c>
    </row>
    <row r="78" spans="3:42" x14ac:dyDescent="0.3">
      <c r="R78" s="576"/>
      <c r="S78" s="620" t="s">
        <v>853</v>
      </c>
      <c r="T78" s="620"/>
      <c r="U78" s="577"/>
      <c r="V78" s="578">
        <f>'8 RAHOITUSSUUNNITELMA'!H37/1000</f>
        <v>0</v>
      </c>
      <c r="W78" s="578">
        <f>'8 RAHOITUSSUUNNITELMA'!I37/1000</f>
        <v>0</v>
      </c>
      <c r="X78" s="578">
        <f>'8 RAHOITUSSUUNNITELMA'!J37/1000</f>
        <v>0</v>
      </c>
      <c r="Y78" s="578">
        <f>'8 RAHOITUSSUUNNITELMA'!K37/1000</f>
        <v>0</v>
      </c>
      <c r="AA78" s="609" t="str">
        <f>'4 LAINAT'!C51</f>
        <v>KAIKKI YHTEENSÄ</v>
      </c>
      <c r="AB78" s="581">
        <f>'4 LAINAT'!D51/1000</f>
        <v>0</v>
      </c>
      <c r="AC78" s="636"/>
      <c r="AD78" s="636"/>
      <c r="AE78" s="581">
        <f>'4 LAINAT'!G51/1000</f>
        <v>0</v>
      </c>
      <c r="AF78" s="581">
        <f>'4 LAINAT'!H51/1000</f>
        <v>0</v>
      </c>
      <c r="AG78" s="581">
        <f>'4 LAINAT'!I51/1000</f>
        <v>0</v>
      </c>
      <c r="AH78" s="581">
        <f>'4 LAINAT'!J51/1000</f>
        <v>0</v>
      </c>
      <c r="AI78" s="581">
        <f>'4 LAINAT'!K51/1000</f>
        <v>0</v>
      </c>
      <c r="AJ78" s="581">
        <f>'4 LAINAT'!L51/1000</f>
        <v>0</v>
      </c>
      <c r="AK78" s="581">
        <f>'4 LAINAT'!M51/1000</f>
        <v>0</v>
      </c>
      <c r="AL78" s="581">
        <f>'4 LAINAT'!N51/1000</f>
        <v>0</v>
      </c>
      <c r="AM78" s="581">
        <f>'4 LAINAT'!O51/1000</f>
        <v>0</v>
      </c>
      <c r="AN78" s="581">
        <f>'4 LAINAT'!P51/1000</f>
        <v>0</v>
      </c>
      <c r="AO78" s="581">
        <f>'4 LAINAT'!Q51/1000</f>
        <v>0</v>
      </c>
      <c r="AP78" s="581">
        <f>'4 LAINAT'!R51/1000</f>
        <v>0</v>
      </c>
    </row>
    <row r="79" spans="3:42" x14ac:dyDescent="0.3">
      <c r="R79" s="576"/>
      <c r="S79" s="621" t="s">
        <v>838</v>
      </c>
      <c r="T79" s="621"/>
      <c r="U79" s="612"/>
      <c r="V79" s="581">
        <f>'8 RAHOITUSSUUNNITELMA'!H38/1000</f>
        <v>0</v>
      </c>
      <c r="W79" s="581">
        <f>'8 RAHOITUSSUUNNITELMA'!I38/1000</f>
        <v>0</v>
      </c>
      <c r="X79" s="581">
        <f>'8 RAHOITUSSUUNNITELMA'!J38/1000</f>
        <v>0</v>
      </c>
      <c r="Y79" s="581">
        <f>'8 RAHOITUSSUUNNITELMA'!K38/1000</f>
        <v>0</v>
      </c>
    </row>
  </sheetData>
  <sheetProtection algorithmName="SHA-512" hashValue="u2NUUAEnE3xFohJv9noI36vHGH6YzY8s74m9mnVt+mxtC479z79H3EiI/jl48Z5AcHbL72LyQYtj2hdWqg/7KQ==" saltValue="iL14cgbbtSInkXymzAyG+A==" spinCount="100000" sheet="1" objects="1" scenarios="1" formatCells="0" selectLockedCells="1"/>
  <mergeCells count="197">
    <mergeCell ref="E74:F74"/>
    <mergeCell ref="G74:H74"/>
    <mergeCell ref="I74:J74"/>
    <mergeCell ref="K74:L74"/>
    <mergeCell ref="M74:N74"/>
    <mergeCell ref="O74:P74"/>
    <mergeCell ref="E73:F73"/>
    <mergeCell ref="G73:H73"/>
    <mergeCell ref="I73:J73"/>
    <mergeCell ref="K73:L73"/>
    <mergeCell ref="M73:N73"/>
    <mergeCell ref="O73:P73"/>
    <mergeCell ref="E50:F50"/>
    <mergeCell ref="E49:F49"/>
    <mergeCell ref="G49:H49"/>
    <mergeCell ref="G50:H50"/>
    <mergeCell ref="I49:J49"/>
    <mergeCell ref="I50:J50"/>
    <mergeCell ref="AH36:AI36"/>
    <mergeCell ref="AH38:AI38"/>
    <mergeCell ref="AH37:AI37"/>
    <mergeCell ref="AE36:AF36"/>
    <mergeCell ref="AE38:AF38"/>
    <mergeCell ref="K49:L49"/>
    <mergeCell ref="K50:L50"/>
    <mergeCell ref="AA46:AP46"/>
    <mergeCell ref="AA50:AP50"/>
    <mergeCell ref="M49:N49"/>
    <mergeCell ref="M50:N50"/>
    <mergeCell ref="O49:P49"/>
    <mergeCell ref="O50:P50"/>
    <mergeCell ref="AN38:AO38"/>
    <mergeCell ref="AN37:AO37"/>
    <mergeCell ref="J6:P7"/>
    <mergeCell ref="J28:P29"/>
    <mergeCell ref="AI13:AJ13"/>
    <mergeCell ref="AE13:AF13"/>
    <mergeCell ref="AG13:AH13"/>
    <mergeCell ref="AB27:AB30"/>
    <mergeCell ref="AC27:AC30"/>
    <mergeCell ref="AD27:AD30"/>
    <mergeCell ref="AE30:AF30"/>
    <mergeCell ref="AH30:AI30"/>
    <mergeCell ref="AG14:AH14"/>
    <mergeCell ref="AI14:AJ14"/>
    <mergeCell ref="AE19:AF19"/>
    <mergeCell ref="AG19:AH19"/>
    <mergeCell ref="AI19:AJ19"/>
    <mergeCell ref="AE9:AF9"/>
    <mergeCell ref="AG9:AH9"/>
    <mergeCell ref="AI9:AJ9"/>
    <mergeCell ref="AE20:AF20"/>
    <mergeCell ref="AG20:AH20"/>
    <mergeCell ref="AH31:AI31"/>
    <mergeCell ref="AH32:AI32"/>
    <mergeCell ref="AH33:AI33"/>
    <mergeCell ref="AH34:AI34"/>
    <mergeCell ref="AH35:AI35"/>
    <mergeCell ref="AO6:AP6"/>
    <mergeCell ref="AO7:AP7"/>
    <mergeCell ref="AE8:AF8"/>
    <mergeCell ref="AG8:AH8"/>
    <mergeCell ref="AI8:AJ8"/>
    <mergeCell ref="AK8:AL8"/>
    <mergeCell ref="AM8:AN8"/>
    <mergeCell ref="AO8:AP8"/>
    <mergeCell ref="AI6:AJ6"/>
    <mergeCell ref="AI7:AJ7"/>
    <mergeCell ref="AK6:AL6"/>
    <mergeCell ref="AK7:AL7"/>
    <mergeCell ref="AM6:AN6"/>
    <mergeCell ref="AM7:AN7"/>
    <mergeCell ref="AE6:AF6"/>
    <mergeCell ref="AE7:AF7"/>
    <mergeCell ref="AG6:AH6"/>
    <mergeCell ref="AG7:AH7"/>
    <mergeCell ref="AE14:AF14"/>
    <mergeCell ref="AK14:AL14"/>
    <mergeCell ref="AM14:AN14"/>
    <mergeCell ref="AO14:AP14"/>
    <mergeCell ref="AK10:AL10"/>
    <mergeCell ref="AM10:AN10"/>
    <mergeCell ref="AO10:AP10"/>
    <mergeCell ref="AE12:AF12"/>
    <mergeCell ref="AG12:AH12"/>
    <mergeCell ref="AI12:AJ12"/>
    <mergeCell ref="AK12:AL12"/>
    <mergeCell ref="AM12:AN12"/>
    <mergeCell ref="AO12:AP12"/>
    <mergeCell ref="AE10:AF10"/>
    <mergeCell ref="AG10:AH10"/>
    <mergeCell ref="AK13:AL13"/>
    <mergeCell ref="AM13:AN13"/>
    <mergeCell ref="AO13:AP13"/>
    <mergeCell ref="AI10:AJ10"/>
    <mergeCell ref="AK19:AL19"/>
    <mergeCell ref="AM19:AN19"/>
    <mergeCell ref="AO19:AP19"/>
    <mergeCell ref="AK15:AL15"/>
    <mergeCell ref="AM15:AN15"/>
    <mergeCell ref="AO15:AP15"/>
    <mergeCell ref="AE15:AF15"/>
    <mergeCell ref="AG15:AH15"/>
    <mergeCell ref="AI15:AJ15"/>
    <mergeCell ref="AE16:AF16"/>
    <mergeCell ref="AG16:AH16"/>
    <mergeCell ref="AO16:AP16"/>
    <mergeCell ref="AE18:AF18"/>
    <mergeCell ref="AG18:AH18"/>
    <mergeCell ref="AI18:AJ18"/>
    <mergeCell ref="AK18:AL18"/>
    <mergeCell ref="AM18:AN18"/>
    <mergeCell ref="AO18:AP18"/>
    <mergeCell ref="AE17:AF17"/>
    <mergeCell ref="AG17:AH17"/>
    <mergeCell ref="AI16:AJ16"/>
    <mergeCell ref="AK16:AL16"/>
    <mergeCell ref="AM16:AN16"/>
    <mergeCell ref="AI17:AJ17"/>
    <mergeCell ref="AK9:AL9"/>
    <mergeCell ref="AM9:AN9"/>
    <mergeCell ref="AO9:AP9"/>
    <mergeCell ref="AE11:AF11"/>
    <mergeCell ref="AG11:AH11"/>
    <mergeCell ref="AI11:AJ11"/>
    <mergeCell ref="AK11:AL11"/>
    <mergeCell ref="AM11:AN11"/>
    <mergeCell ref="AO11:AP11"/>
    <mergeCell ref="AK17:AL17"/>
    <mergeCell ref="AM17:AN17"/>
    <mergeCell ref="AO17:AP17"/>
    <mergeCell ref="AI20:AJ20"/>
    <mergeCell ref="AK20:AL20"/>
    <mergeCell ref="AE37:AF37"/>
    <mergeCell ref="AE31:AF31"/>
    <mergeCell ref="AE32:AF32"/>
    <mergeCell ref="AE33:AF33"/>
    <mergeCell ref="AE34:AF34"/>
    <mergeCell ref="AE35:AF35"/>
    <mergeCell ref="AN36:AO36"/>
    <mergeCell ref="AK30:AL30"/>
    <mergeCell ref="AN30:AO30"/>
    <mergeCell ref="AK28:AM28"/>
    <mergeCell ref="AN28:AP28"/>
    <mergeCell ref="AH29:AJ29"/>
    <mergeCell ref="AK29:AM29"/>
    <mergeCell ref="AN29:AP29"/>
    <mergeCell ref="AE28:AG28"/>
    <mergeCell ref="AE29:AG29"/>
    <mergeCell ref="AH28:AJ28"/>
    <mergeCell ref="AM20:AN20"/>
    <mergeCell ref="AO20:AP20"/>
    <mergeCell ref="AN31:AO31"/>
    <mergeCell ref="AN32:AO32"/>
    <mergeCell ref="AN33:AO33"/>
    <mergeCell ref="AN34:AO34"/>
    <mergeCell ref="AN35:AO35"/>
    <mergeCell ref="AK36:AL36"/>
    <mergeCell ref="AK38:AL38"/>
    <mergeCell ref="AK37:AL37"/>
    <mergeCell ref="AK31:AL31"/>
    <mergeCell ref="AK32:AL32"/>
    <mergeCell ref="AK33:AL33"/>
    <mergeCell ref="AK34:AL34"/>
    <mergeCell ref="AK35:AL35"/>
    <mergeCell ref="AA54:AP54"/>
    <mergeCell ref="AN39:AO39"/>
    <mergeCell ref="AN40:AO40"/>
    <mergeCell ref="AB42:AB45"/>
    <mergeCell ref="AC42:AC45"/>
    <mergeCell ref="AD42:AD45"/>
    <mergeCell ref="AE43:AG43"/>
    <mergeCell ref="AH43:AJ43"/>
    <mergeCell ref="AK43:AM43"/>
    <mergeCell ref="AN43:AP43"/>
    <mergeCell ref="AE44:AG44"/>
    <mergeCell ref="AH44:AJ44"/>
    <mergeCell ref="AK44:AM44"/>
    <mergeCell ref="AN44:AP44"/>
    <mergeCell ref="AE39:AF39"/>
    <mergeCell ref="AE40:AF40"/>
    <mergeCell ref="AH39:AI39"/>
    <mergeCell ref="AH40:AI40"/>
    <mergeCell ref="AK39:AL39"/>
    <mergeCell ref="AK40:AL40"/>
    <mergeCell ref="AA58:AP58"/>
    <mergeCell ref="AB64:AB67"/>
    <mergeCell ref="AC64:AC67"/>
    <mergeCell ref="AD64:AD67"/>
    <mergeCell ref="AE65:AG65"/>
    <mergeCell ref="AH65:AJ65"/>
    <mergeCell ref="AK65:AM65"/>
    <mergeCell ref="AN65:AP65"/>
    <mergeCell ref="AE66:AG66"/>
    <mergeCell ref="AH66:AJ66"/>
    <mergeCell ref="AK66:AM66"/>
    <mergeCell ref="AN66:AP66"/>
  </mergeCells>
  <conditionalFormatting sqref="AS10:AX10">
    <cfRule type="containsText" dxfId="14" priority="13" operator="containsText" text="Hyvä">
      <formula>NOT(ISERROR(SEARCH("Hyvä",AS10)))</formula>
    </cfRule>
    <cfRule type="containsText" dxfId="13" priority="14" operator="containsText" text="Tyydyttävä">
      <formula>NOT(ISERROR(SEARCH("Tyydyttävä",AS10)))</formula>
    </cfRule>
    <cfRule type="containsText" dxfId="12" priority="15" operator="containsText" text="Heikko">
      <formula>NOT(ISERROR(SEARCH("Heikko",AS10)))</formula>
    </cfRule>
  </conditionalFormatting>
  <conditionalFormatting sqref="AS12:AX12">
    <cfRule type="containsText" dxfId="11" priority="10" operator="containsText" text="Hyvä">
      <formula>NOT(ISERROR(SEARCH("Hyvä",AS12)))</formula>
    </cfRule>
    <cfRule type="containsText" dxfId="10" priority="11" operator="containsText" text="Tyydyttävä">
      <formula>NOT(ISERROR(SEARCH("Tyydyttävä",AS12)))</formula>
    </cfRule>
    <cfRule type="containsText" dxfId="9" priority="12" operator="containsText" text="Heikko">
      <formula>NOT(ISERROR(SEARCH("Heikko",AS12)))</formula>
    </cfRule>
  </conditionalFormatting>
  <conditionalFormatting sqref="AS18:AX18">
    <cfRule type="containsText" dxfId="8" priority="4" operator="containsText" text="Hyvä">
      <formula>NOT(ISERROR(SEARCH("Hyvä",AS18)))</formula>
    </cfRule>
    <cfRule type="containsText" dxfId="7" priority="5" operator="containsText" text="Tyydyttävä">
      <formula>NOT(ISERROR(SEARCH("Tyydyttävä",AS18)))</formula>
    </cfRule>
    <cfRule type="containsText" dxfId="6" priority="6" operator="containsText" text="Heikko">
      <formula>NOT(ISERROR(SEARCH("Heikko",AS18)))</formula>
    </cfRule>
  </conditionalFormatting>
  <conditionalFormatting sqref="AS20:AX20">
    <cfRule type="containsText" dxfId="5" priority="1" operator="containsText" text="Nettovelaton">
      <formula>NOT(ISERROR(SEARCH("Nettovelaton",AS20)))</formula>
    </cfRule>
    <cfRule type="containsText" dxfId="4" priority="2" operator="containsText" text="Hyvä">
      <formula>NOT(ISERROR(SEARCH("Hyvä",AS20)))</formula>
    </cfRule>
    <cfRule type="containsText" dxfId="3" priority="3" operator="containsText" text="Heikko">
      <formula>NOT(ISERROR(SEARCH("Heikko",AS20)))</formula>
    </cfRule>
  </conditionalFormatting>
  <conditionalFormatting sqref="AT15:AX15">
    <cfRule type="containsText" dxfId="2" priority="7" operator="containsText" text="Hyvä">
      <formula>NOT(ISERROR(SEARCH("Hyvä",AT15)))</formula>
    </cfRule>
    <cfRule type="containsText" dxfId="1" priority="8" operator="containsText" text="Tyydyttävä">
      <formula>NOT(ISERROR(SEARCH("Tyydyttävä",AT15)))</formula>
    </cfRule>
    <cfRule type="containsText" dxfId="0" priority="9" operator="containsText" text="Heikko">
      <formula>NOT(ISERROR(SEARCH("Heikko",AT15)))</formula>
    </cfRule>
  </conditionalFormatting>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95DD6-1781-42CA-BF4A-A1A080398322}">
  <dimension ref="C2:P481"/>
  <sheetViews>
    <sheetView zoomScale="120" zoomScaleNormal="120" workbookViewId="0"/>
  </sheetViews>
  <sheetFormatPr defaultColWidth="8.7265625" defaultRowHeight="14.5" x14ac:dyDescent="0.35"/>
  <cols>
    <col min="1" max="1" width="2.54296875" style="5" customWidth="1"/>
    <col min="2" max="2" width="10.7265625" style="5" customWidth="1"/>
    <col min="3" max="27" width="10.54296875" style="5" customWidth="1"/>
    <col min="28" max="16384" width="8.7265625" style="5"/>
  </cols>
  <sheetData>
    <row r="2" spans="3:16" ht="21" x14ac:dyDescent="0.5">
      <c r="C2" s="16" t="s">
        <v>962</v>
      </c>
    </row>
    <row r="4" spans="3:16" x14ac:dyDescent="0.35">
      <c r="C4" s="830" t="s">
        <v>805</v>
      </c>
      <c r="D4" s="829"/>
      <c r="E4" s="829"/>
      <c r="F4" s="829"/>
      <c r="G4" s="829"/>
      <c r="H4" s="829"/>
      <c r="I4" s="829"/>
      <c r="J4" s="829"/>
      <c r="K4" s="829"/>
      <c r="L4" s="829"/>
      <c r="M4" s="829"/>
      <c r="N4" s="829"/>
      <c r="O4" s="829"/>
      <c r="P4" s="829"/>
    </row>
    <row r="6" spans="3:16" x14ac:dyDescent="0.35">
      <c r="C6" s="14" t="s">
        <v>425</v>
      </c>
      <c r="J6" s="14" t="s">
        <v>777</v>
      </c>
    </row>
    <row r="23" spans="3:16" x14ac:dyDescent="0.35">
      <c r="C23" s="830" t="s">
        <v>913</v>
      </c>
      <c r="D23" s="829"/>
      <c r="E23" s="829"/>
      <c r="F23" s="829"/>
      <c r="G23" s="829"/>
      <c r="H23" s="829"/>
      <c r="I23" s="829"/>
      <c r="J23" s="829"/>
      <c r="K23" s="829"/>
      <c r="L23" s="829"/>
      <c r="M23" s="829"/>
      <c r="N23" s="829"/>
      <c r="O23" s="829"/>
      <c r="P23" s="829"/>
    </row>
    <row r="25" spans="3:16" x14ac:dyDescent="0.35">
      <c r="C25" s="14" t="s">
        <v>345</v>
      </c>
      <c r="J25" s="14" t="s">
        <v>910</v>
      </c>
    </row>
    <row r="42" spans="3:10" x14ac:dyDescent="0.35">
      <c r="C42" s="14" t="s">
        <v>348</v>
      </c>
      <c r="J42" s="14" t="s">
        <v>350</v>
      </c>
    </row>
    <row r="59" spans="3:10" x14ac:dyDescent="0.35">
      <c r="C59" s="14" t="s">
        <v>908</v>
      </c>
      <c r="J59" s="14" t="s">
        <v>909</v>
      </c>
    </row>
    <row r="76" spans="3:16" x14ac:dyDescent="0.35">
      <c r="C76" s="830" t="s">
        <v>917</v>
      </c>
      <c r="D76" s="829"/>
      <c r="E76" s="829"/>
      <c r="F76" s="829"/>
      <c r="G76" s="829"/>
      <c r="H76" s="829"/>
      <c r="I76" s="829"/>
      <c r="J76" s="829"/>
      <c r="K76" s="829"/>
      <c r="L76" s="829"/>
      <c r="M76" s="829"/>
      <c r="N76" s="829"/>
      <c r="O76" s="829"/>
      <c r="P76" s="829"/>
    </row>
    <row r="78" spans="3:16" x14ac:dyDescent="0.35">
      <c r="C78" s="14" t="s">
        <v>924</v>
      </c>
      <c r="J78" s="14" t="s">
        <v>922</v>
      </c>
    </row>
    <row r="95" spans="3:10" x14ac:dyDescent="0.35">
      <c r="C95" s="14" t="s">
        <v>916</v>
      </c>
      <c r="J95" s="14" t="s">
        <v>921</v>
      </c>
    </row>
    <row r="112" spans="3:3" x14ac:dyDescent="0.35">
      <c r="C112" s="14" t="s">
        <v>923</v>
      </c>
    </row>
    <row r="129" spans="3:16" x14ac:dyDescent="0.35">
      <c r="C129" s="830" t="s">
        <v>959</v>
      </c>
      <c r="D129" s="829"/>
      <c r="E129" s="829"/>
      <c r="F129" s="829"/>
      <c r="G129" s="829"/>
      <c r="H129" s="829"/>
      <c r="I129" s="829"/>
      <c r="J129" s="829"/>
      <c r="K129" s="829"/>
      <c r="L129" s="829"/>
      <c r="M129" s="829"/>
      <c r="N129" s="829"/>
      <c r="O129" s="829"/>
      <c r="P129" s="829"/>
    </row>
    <row r="131" spans="3:16" x14ac:dyDescent="0.35">
      <c r="C131" s="14" t="s">
        <v>972</v>
      </c>
      <c r="J131" s="14" t="s">
        <v>892</v>
      </c>
    </row>
    <row r="148" spans="3:10" x14ac:dyDescent="0.35">
      <c r="C148" s="1" t="s">
        <v>957</v>
      </c>
      <c r="J148" s="1" t="s">
        <v>958</v>
      </c>
    </row>
    <row r="165" spans="3:10" x14ac:dyDescent="0.35">
      <c r="C165" s="1" t="s">
        <v>960</v>
      </c>
      <c r="J165" s="1" t="s">
        <v>967</v>
      </c>
    </row>
    <row r="182" spans="3:10" x14ac:dyDescent="0.35">
      <c r="C182" s="1" t="s">
        <v>970</v>
      </c>
      <c r="J182" s="14"/>
    </row>
    <row r="199" spans="3:10" x14ac:dyDescent="0.35">
      <c r="C199" s="14" t="s">
        <v>968</v>
      </c>
      <c r="J199" s="14" t="s">
        <v>969</v>
      </c>
    </row>
    <row r="216" spans="3:3" x14ac:dyDescent="0.35">
      <c r="C216" s="14" t="s">
        <v>971</v>
      </c>
    </row>
    <row r="233" spans="3:16" x14ac:dyDescent="0.35">
      <c r="C233" s="830" t="s">
        <v>929</v>
      </c>
      <c r="D233" s="829"/>
      <c r="E233" s="829"/>
      <c r="F233" s="829"/>
      <c r="G233" s="829"/>
      <c r="H233" s="829"/>
      <c r="I233" s="829"/>
      <c r="J233" s="829"/>
      <c r="K233" s="829"/>
      <c r="L233" s="829"/>
      <c r="M233" s="829"/>
      <c r="N233" s="829"/>
      <c r="O233" s="829"/>
      <c r="P233" s="829"/>
    </row>
    <row r="235" spans="3:16" x14ac:dyDescent="0.35">
      <c r="C235" s="14" t="s">
        <v>85</v>
      </c>
    </row>
    <row r="252" spans="3:16" x14ac:dyDescent="0.35">
      <c r="C252" s="830" t="s">
        <v>215</v>
      </c>
      <c r="D252" s="829"/>
      <c r="E252" s="829"/>
      <c r="F252" s="829"/>
      <c r="G252" s="829"/>
      <c r="H252" s="829"/>
      <c r="I252" s="829"/>
      <c r="J252" s="829"/>
      <c r="K252" s="829"/>
      <c r="L252" s="829"/>
      <c r="M252" s="829"/>
      <c r="N252" s="829"/>
      <c r="O252" s="829"/>
      <c r="P252" s="829"/>
    </row>
    <row r="254" spans="3:16" x14ac:dyDescent="0.35">
      <c r="C254" s="14" t="s">
        <v>345</v>
      </c>
      <c r="J254" s="14" t="s">
        <v>937</v>
      </c>
    </row>
    <row r="271" spans="3:16" x14ac:dyDescent="0.35">
      <c r="C271" s="830" t="s">
        <v>938</v>
      </c>
      <c r="D271" s="829"/>
      <c r="E271" s="829"/>
      <c r="F271" s="829"/>
      <c r="G271" s="829"/>
      <c r="H271" s="829"/>
      <c r="I271" s="829"/>
      <c r="J271" s="829"/>
      <c r="K271" s="829"/>
      <c r="L271" s="829"/>
      <c r="M271" s="829"/>
      <c r="N271" s="829"/>
      <c r="O271" s="829"/>
      <c r="P271" s="829"/>
    </row>
    <row r="273" spans="3:10" x14ac:dyDescent="0.35">
      <c r="C273" s="14" t="s">
        <v>280</v>
      </c>
      <c r="J273" s="14"/>
    </row>
    <row r="290" spans="3:10" x14ac:dyDescent="0.35">
      <c r="C290" s="14" t="s">
        <v>940</v>
      </c>
      <c r="J290" s="14" t="s">
        <v>941</v>
      </c>
    </row>
    <row r="307" spans="3:10" x14ac:dyDescent="0.35">
      <c r="C307" s="14" t="s">
        <v>951</v>
      </c>
      <c r="J307" s="14" t="s">
        <v>952</v>
      </c>
    </row>
    <row r="324" spans="3:3" x14ac:dyDescent="0.35">
      <c r="C324" s="14" t="s">
        <v>342</v>
      </c>
    </row>
    <row r="341" spans="3:10" x14ac:dyDescent="0.35">
      <c r="C341" s="14" t="s">
        <v>944</v>
      </c>
      <c r="J341" s="14" t="s">
        <v>945</v>
      </c>
    </row>
    <row r="358" spans="3:16" x14ac:dyDescent="0.35">
      <c r="C358" s="830" t="s">
        <v>946</v>
      </c>
      <c r="D358" s="829"/>
      <c r="E358" s="829"/>
      <c r="F358" s="829"/>
      <c r="G358" s="829"/>
      <c r="H358" s="829"/>
      <c r="I358" s="829"/>
      <c r="J358" s="829"/>
      <c r="K358" s="829"/>
      <c r="L358" s="829"/>
      <c r="M358" s="829"/>
      <c r="N358" s="829"/>
      <c r="O358" s="829"/>
      <c r="P358" s="829"/>
    </row>
    <row r="360" spans="3:16" x14ac:dyDescent="0.35">
      <c r="C360" s="14" t="s">
        <v>348</v>
      </c>
      <c r="J360" s="14" t="s">
        <v>350</v>
      </c>
    </row>
    <row r="377" spans="3:3" x14ac:dyDescent="0.35">
      <c r="C377" s="14" t="s">
        <v>353</v>
      </c>
    </row>
    <row r="394" spans="3:10" x14ac:dyDescent="0.35">
      <c r="C394" s="14" t="s">
        <v>355</v>
      </c>
      <c r="J394" s="14" t="s">
        <v>280</v>
      </c>
    </row>
    <row r="411" spans="3:10" x14ac:dyDescent="0.35">
      <c r="C411" s="14" t="s">
        <v>949</v>
      </c>
      <c r="J411" s="14" t="s">
        <v>950</v>
      </c>
    </row>
    <row r="428" spans="3:10" x14ac:dyDescent="0.35">
      <c r="C428" s="14" t="s">
        <v>360</v>
      </c>
      <c r="J428" s="14" t="s">
        <v>361</v>
      </c>
    </row>
    <row r="445" spans="3:10" x14ac:dyDescent="0.35">
      <c r="C445" s="14" t="s">
        <v>363</v>
      </c>
      <c r="J445" s="14" t="s">
        <v>364</v>
      </c>
    </row>
    <row r="462" spans="3:3" x14ac:dyDescent="0.35">
      <c r="C462" s="14" t="s">
        <v>596</v>
      </c>
    </row>
    <row r="479" spans="3:16" x14ac:dyDescent="0.35">
      <c r="C479" s="830" t="s">
        <v>953</v>
      </c>
      <c r="D479" s="829"/>
      <c r="E479" s="829"/>
      <c r="F479" s="829"/>
      <c r="G479" s="829"/>
      <c r="H479" s="829"/>
      <c r="I479" s="829"/>
      <c r="J479" s="829"/>
      <c r="K479" s="829"/>
      <c r="L479" s="829"/>
      <c r="M479" s="829"/>
      <c r="N479" s="829"/>
      <c r="O479" s="829"/>
      <c r="P479" s="829"/>
    </row>
    <row r="481" spans="3:10" x14ac:dyDescent="0.35">
      <c r="C481" s="14" t="s">
        <v>370</v>
      </c>
      <c r="J481" s="14" t="s">
        <v>954</v>
      </c>
    </row>
  </sheetData>
  <sheetProtection algorithmName="SHA-512" hashValue="yhsTp21L5OYuPZNKKzSGkeCsqNRrxircvP61jOGfAZOz9Z59wU5bfj060nS/z8pARqIpPfNhU9T6Ak/5G+5YGw==" saltValue="jKJxclfogbFOD3vYipVyXw==" spinCount="100000" sheet="1" objects="1" scenarios="1" selectLockedCells="1" selectUnlockedCells="1"/>
  <phoneticPr fontId="10" type="noConversion"/>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56A9F-5507-4EF9-A4B5-CA0C0D8468B5}">
  <sheetPr>
    <tabColor theme="7" tint="0.79998168889431442"/>
  </sheetPr>
  <dimension ref="B2:J81"/>
  <sheetViews>
    <sheetView workbookViewId="0">
      <selection activeCell="H2" sqref="H2"/>
    </sheetView>
  </sheetViews>
  <sheetFormatPr defaultColWidth="8.7265625" defaultRowHeight="14.5" x14ac:dyDescent="0.35"/>
  <cols>
    <col min="1" max="1" width="2.54296875" style="5" customWidth="1"/>
    <col min="2" max="2" width="45" style="5" bestFit="1" customWidth="1"/>
    <col min="3" max="9" width="10.54296875" style="5" customWidth="1"/>
    <col min="10" max="10" width="25.54296875" style="5" customWidth="1"/>
    <col min="11" max="16384" width="8.7265625" style="5"/>
  </cols>
  <sheetData>
    <row r="2" spans="2:10" ht="21" x14ac:dyDescent="0.5">
      <c r="B2" s="16" t="s">
        <v>963</v>
      </c>
    </row>
    <row r="4" spans="2:10" x14ac:dyDescent="0.35">
      <c r="B4" s="829"/>
      <c r="C4" s="830">
        <f>'2 &amp; 7 TULOSSUUNNITELMA'!F8</f>
        <v>2024</v>
      </c>
      <c r="D4" s="830">
        <f>'2 &amp; 7 TULOSSUUNNITELMA'!H8</f>
        <v>2025</v>
      </c>
      <c r="E4" s="830">
        <f>'2 &amp; 7 TULOSSUUNNITELMA'!J8</f>
        <v>2026</v>
      </c>
      <c r="F4" s="830">
        <f>'2 &amp; 7 TULOSSUUNNITELMA'!L8</f>
        <v>2027</v>
      </c>
      <c r="G4" s="830">
        <f>'2 &amp; 7 TULOSSUUNNITELMA'!N8</f>
        <v>2028</v>
      </c>
      <c r="H4" s="830">
        <f>'2 &amp; 7 TULOSSUUNNITELMA'!P8</f>
        <v>2029</v>
      </c>
      <c r="J4" s="831" t="s">
        <v>911</v>
      </c>
    </row>
    <row r="5" spans="2:10" x14ac:dyDescent="0.35">
      <c r="B5" s="5" t="s">
        <v>425</v>
      </c>
      <c r="C5" s="835"/>
      <c r="D5" s="835"/>
      <c r="E5" s="129">
        <f>'1 INVESTOINTISUUNNITELMA'!E42</f>
        <v>0</v>
      </c>
      <c r="F5" s="129">
        <f>'1 INVESTOINTISUUNNITELMA'!F42</f>
        <v>0</v>
      </c>
      <c r="G5" s="129">
        <f>'1 INVESTOINTISUUNNITELMA'!G42</f>
        <v>0</v>
      </c>
      <c r="H5" s="129">
        <f>'1 INVESTOINTISUUNNITELMA'!H42</f>
        <v>0</v>
      </c>
      <c r="J5" s="832" t="s">
        <v>955</v>
      </c>
    </row>
    <row r="6" spans="2:10" x14ac:dyDescent="0.35">
      <c r="B6" s="5" t="s">
        <v>427</v>
      </c>
      <c r="C6" s="835"/>
      <c r="D6" s="835"/>
      <c r="E6" s="129">
        <f>'1 INVESTOINTISUUNNITELMA'!E46</f>
        <v>0</v>
      </c>
      <c r="F6" s="129">
        <f>'1 INVESTOINTISUUNNITELMA'!F46</f>
        <v>0</v>
      </c>
      <c r="G6" s="129">
        <f>'1 INVESTOINTISUUNNITELMA'!G46</f>
        <v>0</v>
      </c>
      <c r="H6" s="129">
        <f>'1 INVESTOINTISUUNNITELMA'!H46</f>
        <v>0</v>
      </c>
      <c r="J6" s="832" t="s">
        <v>955</v>
      </c>
    </row>
    <row r="7" spans="2:10" x14ac:dyDescent="0.35">
      <c r="B7" s="5" t="s">
        <v>433</v>
      </c>
      <c r="C7" s="835"/>
      <c r="D7" s="835"/>
      <c r="E7" s="129">
        <f>'1 INVESTOINTISUUNNITELMA'!E53</f>
        <v>0</v>
      </c>
      <c r="F7" s="129">
        <f>'1 INVESTOINTISUUNNITELMA'!F53</f>
        <v>0</v>
      </c>
      <c r="G7" s="129">
        <f>'1 INVESTOINTISUUNNITELMA'!G53</f>
        <v>0</v>
      </c>
      <c r="H7" s="129">
        <f>'1 INVESTOINTISUUNNITELMA'!H53</f>
        <v>0</v>
      </c>
      <c r="J7" s="832" t="s">
        <v>955</v>
      </c>
    </row>
    <row r="8" spans="2:10" x14ac:dyDescent="0.35">
      <c r="J8" s="832"/>
    </row>
    <row r="9" spans="2:10" x14ac:dyDescent="0.35">
      <c r="B9" s="5" t="s">
        <v>345</v>
      </c>
      <c r="C9" s="129">
        <f>'2 &amp; 7 TULOSSUUNNITELMA'!F11</f>
        <v>0</v>
      </c>
      <c r="D9" s="129">
        <f>'2 &amp; 7 TULOSSUUNNITELMA'!H11</f>
        <v>0</v>
      </c>
      <c r="E9" s="129">
        <f>'2 &amp; 7 TULOSSUUNNITELMA'!J11</f>
        <v>0</v>
      </c>
      <c r="F9" s="129">
        <f>'2 &amp; 7 TULOSSUUNNITELMA'!L11</f>
        <v>0</v>
      </c>
      <c r="G9" s="129">
        <f>'2 &amp; 7 TULOSSUUNNITELMA'!N11</f>
        <v>0</v>
      </c>
      <c r="H9" s="129">
        <f>'2 &amp; 7 TULOSSUUNNITELMA'!P11</f>
        <v>0</v>
      </c>
      <c r="J9" s="832" t="s">
        <v>912</v>
      </c>
    </row>
    <row r="10" spans="2:10" x14ac:dyDescent="0.35">
      <c r="B10" s="5" t="s">
        <v>910</v>
      </c>
      <c r="C10" s="129">
        <f>'2 &amp; 7 TULOSSUUNNITELMA'!F14</f>
        <v>0</v>
      </c>
      <c r="D10" s="129">
        <f>'2 &amp; 7 TULOSSUUNNITELMA'!H14</f>
        <v>0</v>
      </c>
      <c r="E10" s="129">
        <f>'2 &amp; 7 TULOSSUUNNITELMA'!J14</f>
        <v>0</v>
      </c>
      <c r="F10" s="129">
        <f>'2 &amp; 7 TULOSSUUNNITELMA'!L14</f>
        <v>0</v>
      </c>
      <c r="G10" s="129">
        <f>'2 &amp; 7 TULOSSUUNNITELMA'!N14</f>
        <v>0</v>
      </c>
      <c r="H10" s="129">
        <f>'2 &amp; 7 TULOSSUUNNITELMA'!P14</f>
        <v>0</v>
      </c>
      <c r="J10" s="832" t="s">
        <v>912</v>
      </c>
    </row>
    <row r="11" spans="2:10" x14ac:dyDescent="0.35">
      <c r="B11" s="5" t="s">
        <v>348</v>
      </c>
      <c r="C11" s="129">
        <f>'2 &amp; 7 TULOSSUUNNITELMA'!F20</f>
        <v>0</v>
      </c>
      <c r="D11" s="129">
        <f>'2 &amp; 7 TULOSSUUNNITELMA'!H20</f>
        <v>0</v>
      </c>
      <c r="E11" s="129">
        <f>'2 &amp; 7 TULOSSUUNNITELMA'!J20</f>
        <v>0</v>
      </c>
      <c r="F11" s="129">
        <f>'2 &amp; 7 TULOSSUUNNITELMA'!L20</f>
        <v>0</v>
      </c>
      <c r="G11" s="129">
        <f>'2 &amp; 7 TULOSSUUNNITELMA'!N20</f>
        <v>0</v>
      </c>
      <c r="H11" s="129">
        <f>'2 &amp; 7 TULOSSUUNNITELMA'!P20</f>
        <v>0</v>
      </c>
      <c r="J11" s="832" t="s">
        <v>912</v>
      </c>
    </row>
    <row r="12" spans="2:10" x14ac:dyDescent="0.35">
      <c r="B12" s="5" t="s">
        <v>350</v>
      </c>
      <c r="C12" s="129">
        <f>'2 &amp; 7 TULOSSUUNNITELMA'!F22</f>
        <v>0</v>
      </c>
      <c r="D12" s="129">
        <f>'2 &amp; 7 TULOSSUUNNITELMA'!H22</f>
        <v>0</v>
      </c>
      <c r="E12" s="129">
        <f>'2 &amp; 7 TULOSSUUNNITELMA'!J22</f>
        <v>0</v>
      </c>
      <c r="F12" s="129">
        <f>'2 &amp; 7 TULOSSUUNNITELMA'!L22</f>
        <v>0</v>
      </c>
      <c r="G12" s="129">
        <f>'2 &amp; 7 TULOSSUUNNITELMA'!N22</f>
        <v>0</v>
      </c>
      <c r="H12" s="129">
        <f>'2 &amp; 7 TULOSSUUNNITELMA'!P22</f>
        <v>0</v>
      </c>
      <c r="J12" s="832" t="s">
        <v>912</v>
      </c>
    </row>
    <row r="13" spans="2:10" x14ac:dyDescent="0.35">
      <c r="B13" s="5" t="s">
        <v>908</v>
      </c>
      <c r="C13" s="129">
        <f>'2 &amp; 7 TULOSSUUNNITELMA'!F26</f>
        <v>0</v>
      </c>
      <c r="D13" s="129">
        <f>'2 &amp; 7 TULOSSUUNNITELMA'!H26</f>
        <v>0</v>
      </c>
      <c r="E13" s="129">
        <f>'2 &amp; 7 TULOSSUUNNITELMA'!J26</f>
        <v>0</v>
      </c>
      <c r="F13" s="129">
        <f>'2 &amp; 7 TULOSSUUNNITELMA'!L26</f>
        <v>0</v>
      </c>
      <c r="G13" s="129">
        <f>'2 &amp; 7 TULOSSUUNNITELMA'!N26</f>
        <v>0</v>
      </c>
      <c r="H13" s="129">
        <f>'2 &amp; 7 TULOSSUUNNITELMA'!P26</f>
        <v>0</v>
      </c>
      <c r="J13" s="832" t="s">
        <v>912</v>
      </c>
    </row>
    <row r="14" spans="2:10" x14ac:dyDescent="0.35">
      <c r="B14" s="5" t="s">
        <v>909</v>
      </c>
      <c r="C14" s="129">
        <f>'2 &amp; 7 TULOSSUUNNITELMA'!F31</f>
        <v>0</v>
      </c>
      <c r="D14" s="129">
        <f>'2 &amp; 7 TULOSSUUNNITELMA'!H31</f>
        <v>0</v>
      </c>
      <c r="E14" s="129">
        <f>'2 &amp; 7 TULOSSUUNNITELMA'!J31</f>
        <v>0</v>
      </c>
      <c r="F14" s="129">
        <f>'2 &amp; 7 TULOSSUUNNITELMA'!L31</f>
        <v>0</v>
      </c>
      <c r="G14" s="129">
        <f>'2 &amp; 7 TULOSSUUNNITELMA'!N31</f>
        <v>0</v>
      </c>
      <c r="H14" s="129">
        <f>'2 &amp; 7 TULOSSUUNNITELMA'!P31</f>
        <v>0</v>
      </c>
      <c r="J14" s="832" t="s">
        <v>912</v>
      </c>
    </row>
    <row r="15" spans="2:10" x14ac:dyDescent="0.35">
      <c r="C15" s="129"/>
      <c r="D15" s="129"/>
      <c r="J15" s="832"/>
    </row>
    <row r="16" spans="2:10" x14ac:dyDescent="0.35">
      <c r="B16" s="5" t="s">
        <v>924</v>
      </c>
      <c r="C16" s="129">
        <f>'3 TASE'!G48</f>
        <v>0</v>
      </c>
      <c r="D16" s="129">
        <f>'3 TASE'!H48</f>
        <v>0</v>
      </c>
      <c r="E16" s="129">
        <f>'3 TASE'!I48</f>
        <v>0</v>
      </c>
      <c r="F16" s="129">
        <f>'3 TASE'!J48</f>
        <v>0</v>
      </c>
      <c r="G16" s="129">
        <f>'3 TASE'!K48</f>
        <v>0</v>
      </c>
      <c r="H16" s="129">
        <f>'3 TASE'!L48</f>
        <v>0</v>
      </c>
      <c r="J16" s="832" t="s">
        <v>915</v>
      </c>
    </row>
    <row r="17" spans="2:10" x14ac:dyDescent="0.35">
      <c r="B17" s="5" t="s">
        <v>423</v>
      </c>
      <c r="C17" s="129">
        <f>'3 TASE'!G11</f>
        <v>0</v>
      </c>
      <c r="D17" s="129">
        <f>'3 TASE'!H11</f>
        <v>0</v>
      </c>
      <c r="E17" s="129">
        <f>'3 TASE'!I11</f>
        <v>0</v>
      </c>
      <c r="F17" s="129">
        <f>'3 TASE'!J11</f>
        <v>0</v>
      </c>
      <c r="G17" s="129">
        <f>'3 TASE'!K11</f>
        <v>0</v>
      </c>
      <c r="H17" s="129">
        <f>'3 TASE'!L11</f>
        <v>0</v>
      </c>
      <c r="J17" s="832" t="s">
        <v>915</v>
      </c>
    </row>
    <row r="18" spans="2:10" x14ac:dyDescent="0.35">
      <c r="B18" s="5" t="s">
        <v>914</v>
      </c>
      <c r="C18" s="129">
        <f>'3 TASE'!G15</f>
        <v>0</v>
      </c>
      <c r="D18" s="129">
        <f>'3 TASE'!H15</f>
        <v>0</v>
      </c>
      <c r="E18" s="129">
        <f>'3 TASE'!I15</f>
        <v>0</v>
      </c>
      <c r="F18" s="129">
        <f>'3 TASE'!J15</f>
        <v>0</v>
      </c>
      <c r="G18" s="129">
        <f>'3 TASE'!K15</f>
        <v>0</v>
      </c>
      <c r="H18" s="129">
        <f>'3 TASE'!L15</f>
        <v>0</v>
      </c>
      <c r="J18" s="832" t="s">
        <v>915</v>
      </c>
    </row>
    <row r="19" spans="2:10" x14ac:dyDescent="0.35">
      <c r="B19" s="5" t="s">
        <v>323</v>
      </c>
      <c r="C19" s="129">
        <f>'3 TASE'!G31</f>
        <v>0</v>
      </c>
      <c r="D19" s="129">
        <f>'3 TASE'!H31</f>
        <v>0</v>
      </c>
      <c r="E19" s="129">
        <f>'3 TASE'!I31</f>
        <v>0</v>
      </c>
      <c r="F19" s="129">
        <f>'3 TASE'!J31</f>
        <v>0</v>
      </c>
      <c r="G19" s="129">
        <f>'3 TASE'!K31</f>
        <v>0</v>
      </c>
      <c r="H19" s="129">
        <f>'3 TASE'!L31</f>
        <v>0</v>
      </c>
      <c r="J19" s="832" t="s">
        <v>915</v>
      </c>
    </row>
    <row r="20" spans="2:10" x14ac:dyDescent="0.35">
      <c r="B20" s="5" t="s">
        <v>336</v>
      </c>
      <c r="C20" s="129">
        <f>'3 TASE'!G36</f>
        <v>0</v>
      </c>
      <c r="D20" s="129">
        <f>'3 TASE'!H36</f>
        <v>0</v>
      </c>
      <c r="E20" s="129">
        <f>'3 TASE'!I36</f>
        <v>0</v>
      </c>
      <c r="F20" s="129">
        <f>'3 TASE'!J36</f>
        <v>0</v>
      </c>
      <c r="G20" s="129">
        <f>'3 TASE'!K36</f>
        <v>0</v>
      </c>
      <c r="H20" s="129">
        <f>'3 TASE'!L36</f>
        <v>0</v>
      </c>
      <c r="J20" s="832" t="s">
        <v>915</v>
      </c>
    </row>
    <row r="21" spans="2:10" x14ac:dyDescent="0.35">
      <c r="B21" s="5" t="s">
        <v>918</v>
      </c>
      <c r="C21" s="129">
        <f>'3 TASE'!G38</f>
        <v>0</v>
      </c>
      <c r="D21" s="129">
        <f>'3 TASE'!H38</f>
        <v>0</v>
      </c>
      <c r="E21" s="129">
        <f>'3 TASE'!I38</f>
        <v>0</v>
      </c>
      <c r="F21" s="129">
        <f>'3 TASE'!J38</f>
        <v>0</v>
      </c>
      <c r="G21" s="129">
        <f>'3 TASE'!K38</f>
        <v>0</v>
      </c>
      <c r="H21" s="129">
        <f>'3 TASE'!L38</f>
        <v>0</v>
      </c>
      <c r="J21" s="832" t="s">
        <v>915</v>
      </c>
    </row>
    <row r="22" spans="2:10" x14ac:dyDescent="0.35">
      <c r="B22" s="5" t="s">
        <v>919</v>
      </c>
      <c r="C22" s="129">
        <f>'3 TASE'!G45</f>
        <v>0</v>
      </c>
      <c r="D22" s="129">
        <f>'3 TASE'!H45</f>
        <v>0</v>
      </c>
      <c r="E22" s="129">
        <f>'3 TASE'!I45</f>
        <v>0</v>
      </c>
      <c r="F22" s="129">
        <f>'3 TASE'!J45</f>
        <v>0</v>
      </c>
      <c r="G22" s="129">
        <f>'3 TASE'!K45</f>
        <v>0</v>
      </c>
      <c r="H22" s="129">
        <f>'3 TASE'!L45</f>
        <v>0</v>
      </c>
      <c r="J22" s="832" t="s">
        <v>915</v>
      </c>
    </row>
    <row r="23" spans="2:10" x14ac:dyDescent="0.35">
      <c r="B23" s="5" t="s">
        <v>920</v>
      </c>
      <c r="C23" s="129">
        <f>'3 TASE'!G46</f>
        <v>0</v>
      </c>
      <c r="D23" s="129">
        <f>'3 TASE'!H46</f>
        <v>0</v>
      </c>
      <c r="E23" s="129">
        <f>'3 TASE'!I46</f>
        <v>0</v>
      </c>
      <c r="F23" s="129">
        <f>'3 TASE'!J46</f>
        <v>0</v>
      </c>
      <c r="G23" s="129">
        <f>'3 TASE'!K46</f>
        <v>0</v>
      </c>
      <c r="H23" s="129">
        <f>'3 TASE'!L46</f>
        <v>0</v>
      </c>
      <c r="J23" s="832" t="s">
        <v>915</v>
      </c>
    </row>
    <row r="24" spans="2:10" x14ac:dyDescent="0.35">
      <c r="B24" s="5" t="s">
        <v>662</v>
      </c>
      <c r="C24" s="129">
        <f>'3 TASE'!G53</f>
        <v>0</v>
      </c>
      <c r="D24" s="129">
        <f>'3 TASE'!H53</f>
        <v>0</v>
      </c>
      <c r="E24" s="129">
        <f>'3 TASE'!I53</f>
        <v>0</v>
      </c>
      <c r="F24" s="129">
        <f>'3 TASE'!J53</f>
        <v>0</v>
      </c>
      <c r="G24" s="129">
        <f>'3 TASE'!K53</f>
        <v>0</v>
      </c>
      <c r="H24" s="129">
        <f>'3 TASE'!L53</f>
        <v>0</v>
      </c>
      <c r="J24" s="832" t="s">
        <v>915</v>
      </c>
    </row>
    <row r="25" spans="2:10" x14ac:dyDescent="0.35">
      <c r="B25" s="5" t="s">
        <v>925</v>
      </c>
      <c r="C25" s="129">
        <f>'3 TASE'!G59</f>
        <v>0</v>
      </c>
      <c r="D25" s="129">
        <f>'3 TASE'!H59</f>
        <v>0</v>
      </c>
      <c r="E25" s="129">
        <f>'3 TASE'!I59</f>
        <v>0</v>
      </c>
      <c r="F25" s="129">
        <f>'3 TASE'!J59</f>
        <v>0</v>
      </c>
      <c r="G25" s="129">
        <f>'3 TASE'!K59</f>
        <v>0</v>
      </c>
      <c r="H25" s="129">
        <f>'3 TASE'!L59</f>
        <v>0</v>
      </c>
      <c r="J25" s="832" t="s">
        <v>915</v>
      </c>
    </row>
    <row r="26" spans="2:10" x14ac:dyDescent="0.35">
      <c r="B26" s="5" t="s">
        <v>926</v>
      </c>
      <c r="C26" s="129">
        <f>'3 TASE'!G63</f>
        <v>0</v>
      </c>
      <c r="D26" s="129">
        <f>'3 TASE'!H63</f>
        <v>0</v>
      </c>
      <c r="E26" s="129">
        <f>'3 TASE'!I63</f>
        <v>0</v>
      </c>
      <c r="F26" s="129">
        <f>'3 TASE'!J63</f>
        <v>0</v>
      </c>
      <c r="G26" s="129">
        <f>'3 TASE'!K63</f>
        <v>0</v>
      </c>
      <c r="H26" s="129">
        <f>'3 TASE'!L63</f>
        <v>0</v>
      </c>
      <c r="J26" s="832" t="s">
        <v>915</v>
      </c>
    </row>
    <row r="27" spans="2:10" x14ac:dyDescent="0.35">
      <c r="B27" s="5" t="s">
        <v>927</v>
      </c>
      <c r="C27" s="129">
        <f>'3 TASE'!G64</f>
        <v>0</v>
      </c>
      <c r="D27" s="129">
        <f>'3 TASE'!H64</f>
        <v>0</v>
      </c>
      <c r="E27" s="129">
        <f>'3 TASE'!I64</f>
        <v>0</v>
      </c>
      <c r="F27" s="129">
        <f>'3 TASE'!J64</f>
        <v>0</v>
      </c>
      <c r="G27" s="129">
        <f>'3 TASE'!K64</f>
        <v>0</v>
      </c>
      <c r="H27" s="129">
        <f>'3 TASE'!L64</f>
        <v>0</v>
      </c>
      <c r="J27" s="832" t="s">
        <v>915</v>
      </c>
    </row>
    <row r="28" spans="2:10" x14ac:dyDescent="0.35">
      <c r="B28" s="5" t="s">
        <v>928</v>
      </c>
      <c r="C28" s="129">
        <f>'3 TASE'!G72</f>
        <v>0</v>
      </c>
      <c r="D28" s="129">
        <f>'3 TASE'!H72</f>
        <v>0</v>
      </c>
      <c r="E28" s="129">
        <f>'3 TASE'!I72</f>
        <v>0</v>
      </c>
      <c r="F28" s="129">
        <f>'3 TASE'!J72</f>
        <v>0</v>
      </c>
      <c r="G28" s="129">
        <f>'3 TASE'!K72</f>
        <v>0</v>
      </c>
      <c r="H28" s="129">
        <f>'3 TASE'!L72</f>
        <v>0</v>
      </c>
      <c r="J28" s="832" t="s">
        <v>915</v>
      </c>
    </row>
    <row r="29" spans="2:10" x14ac:dyDescent="0.35">
      <c r="J29" s="832"/>
    </row>
    <row r="30" spans="2:10" x14ac:dyDescent="0.35">
      <c r="B30" s="5" t="s">
        <v>972</v>
      </c>
      <c r="C30" s="129">
        <f>'3 TASE'!G65+'3 TASE'!G74</f>
        <v>0</v>
      </c>
      <c r="D30" s="129">
        <f>E30+E31</f>
        <v>0</v>
      </c>
      <c r="E30" s="129">
        <f>'AT4 Lainat'!O10</f>
        <v>0</v>
      </c>
      <c r="F30" s="129">
        <f>'AT4 Lainat'!U10</f>
        <v>0</v>
      </c>
      <c r="G30" s="129">
        <f>'AT4 Lainat'!AA10</f>
        <v>0</v>
      </c>
      <c r="H30" s="129">
        <f>'AT4 Lainat'!AG10</f>
        <v>0</v>
      </c>
      <c r="J30" s="832" t="s">
        <v>973</v>
      </c>
    </row>
    <row r="31" spans="2:10" x14ac:dyDescent="0.35">
      <c r="B31" s="5" t="s">
        <v>957</v>
      </c>
      <c r="C31" s="835"/>
      <c r="D31" s="129">
        <f>'3 TASE'!G74</f>
        <v>0</v>
      </c>
      <c r="E31" s="129">
        <f>'4 LAINAT'!G19</f>
        <v>0</v>
      </c>
      <c r="F31" s="129">
        <f>'4 LAINAT'!J19</f>
        <v>0</v>
      </c>
      <c r="G31" s="129">
        <f>'4 LAINAT'!M19</f>
        <v>0</v>
      </c>
      <c r="H31" s="129">
        <f>'4 LAINAT'!P19</f>
        <v>0</v>
      </c>
      <c r="J31" s="832" t="s">
        <v>973</v>
      </c>
    </row>
    <row r="32" spans="2:10" x14ac:dyDescent="0.35">
      <c r="B32" s="5" t="s">
        <v>958</v>
      </c>
      <c r="C32" s="835"/>
      <c r="D32" s="835"/>
      <c r="E32" s="129">
        <f>'4 LAINAT'!I19</f>
        <v>0</v>
      </c>
      <c r="F32" s="129">
        <f>'4 LAINAT'!L19</f>
        <v>0</v>
      </c>
      <c r="G32" s="129">
        <f>'4 LAINAT'!O19</f>
        <v>0</v>
      </c>
      <c r="H32" s="129">
        <f>'4 LAINAT'!R19</f>
        <v>0</v>
      </c>
      <c r="J32" s="832" t="s">
        <v>956</v>
      </c>
    </row>
    <row r="33" spans="2:10" x14ac:dyDescent="0.35">
      <c r="B33" s="5" t="s">
        <v>960</v>
      </c>
      <c r="C33" s="835"/>
      <c r="D33" s="835"/>
      <c r="E33" s="129">
        <f>'4 LAINAT'!G40</f>
        <v>0</v>
      </c>
      <c r="F33" s="129">
        <f>'4 LAINAT'!J40</f>
        <v>0</v>
      </c>
      <c r="G33" s="129">
        <f>'4 LAINAT'!M40</f>
        <v>0</v>
      </c>
      <c r="H33" s="129">
        <f>'4 LAINAT'!P40</f>
        <v>0</v>
      </c>
      <c r="J33" s="832" t="s">
        <v>956</v>
      </c>
    </row>
    <row r="34" spans="2:10" x14ac:dyDescent="0.35">
      <c r="B34" s="5" t="s">
        <v>967</v>
      </c>
      <c r="C34" s="835"/>
      <c r="D34" s="835"/>
      <c r="E34" s="129">
        <f>'4 LAINAT'!H40</f>
        <v>0</v>
      </c>
      <c r="F34" s="129">
        <f>'4 LAINAT'!K40</f>
        <v>0</v>
      </c>
      <c r="G34" s="129">
        <f>'4 LAINAT'!N40</f>
        <v>0</v>
      </c>
      <c r="H34" s="129">
        <f>'4 LAINAT'!Q40</f>
        <v>0</v>
      </c>
      <c r="J34" s="832" t="s">
        <v>956</v>
      </c>
    </row>
    <row r="35" spans="2:10" x14ac:dyDescent="0.35">
      <c r="B35" s="5" t="s">
        <v>970</v>
      </c>
      <c r="C35" s="835"/>
      <c r="D35" s="835"/>
      <c r="E35" s="129">
        <f>'4 LAINAT'!I40</f>
        <v>0</v>
      </c>
      <c r="F35" s="129">
        <f>'4 LAINAT'!L40</f>
        <v>0</v>
      </c>
      <c r="G35" s="129">
        <f>'4 LAINAT'!O40</f>
        <v>0</v>
      </c>
      <c r="H35" s="129">
        <f>'4 LAINAT'!R40</f>
        <v>0</v>
      </c>
      <c r="J35" s="832" t="s">
        <v>956</v>
      </c>
    </row>
    <row r="36" spans="2:10" x14ac:dyDescent="0.35">
      <c r="B36" s="5" t="s">
        <v>968</v>
      </c>
      <c r="C36" s="835"/>
      <c r="D36" s="835"/>
      <c r="E36" s="129">
        <f>'4 LAINAT'!G46</f>
        <v>0</v>
      </c>
      <c r="F36" s="129">
        <f>'4 LAINAT'!J46</f>
        <v>0</v>
      </c>
      <c r="G36" s="129">
        <f>'4 LAINAT'!M46</f>
        <v>0</v>
      </c>
      <c r="H36" s="129">
        <f>'4 LAINAT'!P46</f>
        <v>0</v>
      </c>
      <c r="J36" s="832" t="s">
        <v>956</v>
      </c>
    </row>
    <row r="37" spans="2:10" x14ac:dyDescent="0.35">
      <c r="B37" s="5" t="s">
        <v>969</v>
      </c>
      <c r="C37" s="835"/>
      <c r="D37" s="835"/>
      <c r="E37" s="129">
        <f>'4 LAINAT'!H46</f>
        <v>0</v>
      </c>
      <c r="F37" s="129">
        <f>'4 LAINAT'!K46</f>
        <v>0</v>
      </c>
      <c r="G37" s="129">
        <f>'4 LAINAT'!N46</f>
        <v>0</v>
      </c>
      <c r="H37" s="129">
        <f>'4 LAINAT'!Q46</f>
        <v>0</v>
      </c>
      <c r="J37" s="832" t="s">
        <v>956</v>
      </c>
    </row>
    <row r="38" spans="2:10" x14ac:dyDescent="0.35">
      <c r="B38" s="5" t="s">
        <v>971</v>
      </c>
      <c r="C38" s="835"/>
      <c r="D38" s="835"/>
      <c r="E38" s="129">
        <f>'4 LAINAT'!I46</f>
        <v>0</v>
      </c>
      <c r="F38" s="129">
        <f>'4 LAINAT'!L46</f>
        <v>0</v>
      </c>
      <c r="G38" s="129">
        <f>'4 LAINAT'!O46</f>
        <v>0</v>
      </c>
      <c r="H38" s="129">
        <f>'4 LAINAT'!R46</f>
        <v>0</v>
      </c>
      <c r="J38" s="832" t="s">
        <v>956</v>
      </c>
    </row>
    <row r="39" spans="2:10" x14ac:dyDescent="0.35">
      <c r="B39" s="5" t="s">
        <v>892</v>
      </c>
      <c r="C39" s="129">
        <f>'3 TASE'!G75</f>
        <v>0</v>
      </c>
      <c r="D39" s="129">
        <f>'3 TASE'!H75</f>
        <v>0</v>
      </c>
      <c r="E39" s="129">
        <f>'3 TASE'!I75</f>
        <v>0</v>
      </c>
      <c r="F39" s="129">
        <f>'3 TASE'!J75</f>
        <v>0</v>
      </c>
      <c r="G39" s="129">
        <f>'3 TASE'!K75</f>
        <v>0</v>
      </c>
      <c r="H39" s="129">
        <f>'3 TASE'!L75</f>
        <v>0</v>
      </c>
      <c r="J39" s="832" t="s">
        <v>915</v>
      </c>
    </row>
    <row r="40" spans="2:10" x14ac:dyDescent="0.35">
      <c r="J40" s="832"/>
    </row>
    <row r="41" spans="2:10" x14ac:dyDescent="0.35">
      <c r="B41" s="5" t="s">
        <v>930</v>
      </c>
      <c r="C41" s="835"/>
      <c r="D41" s="835"/>
      <c r="E41" s="129">
        <f>'5 KUSTANNUKSET'!G11</f>
        <v>0</v>
      </c>
      <c r="F41" s="129">
        <f>'5 KUSTANNUKSET'!I11</f>
        <v>0</v>
      </c>
      <c r="G41" s="129">
        <f>'5 KUSTANNUKSET'!K11</f>
        <v>0</v>
      </c>
      <c r="H41" s="129">
        <f>'5 KUSTANNUKSET'!M11</f>
        <v>0</v>
      </c>
      <c r="J41" s="832" t="s">
        <v>932</v>
      </c>
    </row>
    <row r="42" spans="2:10" x14ac:dyDescent="0.35">
      <c r="B42" s="5" t="s">
        <v>931</v>
      </c>
      <c r="C42" s="835"/>
      <c r="D42" s="835"/>
      <c r="E42" s="129">
        <f>'5 KUSTANNUKSET'!G31</f>
        <v>0</v>
      </c>
      <c r="F42" s="129">
        <f>'5 KUSTANNUKSET'!I31</f>
        <v>0</v>
      </c>
      <c r="G42" s="129">
        <f>'5 KUSTANNUKSET'!K31</f>
        <v>0</v>
      </c>
      <c r="H42" s="129">
        <f>'5 KUSTANNUKSET'!M31</f>
        <v>0</v>
      </c>
      <c r="J42" s="832" t="s">
        <v>932</v>
      </c>
    </row>
    <row r="43" spans="2:10" x14ac:dyDescent="0.35">
      <c r="B43" s="5" t="s">
        <v>212</v>
      </c>
      <c r="C43" s="835"/>
      <c r="D43" s="835"/>
      <c r="E43" s="129">
        <f>'5 KUSTANNUKSET'!G45</f>
        <v>0</v>
      </c>
      <c r="F43" s="129">
        <f>'5 KUSTANNUKSET'!I45</f>
        <v>0</v>
      </c>
      <c r="G43" s="129">
        <f>'5 KUSTANNUKSET'!K45</f>
        <v>0</v>
      </c>
      <c r="H43" s="129">
        <f>'5 KUSTANNUKSET'!M45</f>
        <v>0</v>
      </c>
      <c r="J43" s="832" t="s">
        <v>932</v>
      </c>
    </row>
    <row r="44" spans="2:10" x14ac:dyDescent="0.35">
      <c r="J44" s="832"/>
    </row>
    <row r="45" spans="2:10" x14ac:dyDescent="0.35">
      <c r="B45" s="5" t="s">
        <v>345</v>
      </c>
      <c r="C45" s="129">
        <f>'6 LIIKEVAIHTO'!E10</f>
        <v>0</v>
      </c>
      <c r="D45" s="129">
        <f>'6 LIIKEVAIHTO'!F10</f>
        <v>0</v>
      </c>
      <c r="E45" s="129">
        <f>'6 LIIKEVAIHTO'!G10</f>
        <v>0</v>
      </c>
      <c r="F45" s="129">
        <f>'6 LIIKEVAIHTO'!H10</f>
        <v>0</v>
      </c>
      <c r="G45" s="129">
        <f>'6 LIIKEVAIHTO'!I10</f>
        <v>0</v>
      </c>
      <c r="H45" s="129">
        <f>'6 LIIKEVAIHTO'!J10</f>
        <v>0</v>
      </c>
      <c r="J45" s="832" t="s">
        <v>933</v>
      </c>
    </row>
    <row r="46" spans="2:10" x14ac:dyDescent="0.35">
      <c r="B46" s="5" t="s">
        <v>934</v>
      </c>
      <c r="C46" s="129">
        <f>'6 LIIKEVAIHTO'!E11</f>
        <v>0</v>
      </c>
      <c r="D46" s="129">
        <f>'6 LIIKEVAIHTO'!F11</f>
        <v>0</v>
      </c>
      <c r="E46" s="129">
        <f>'6 LIIKEVAIHTO'!G11</f>
        <v>0</v>
      </c>
      <c r="F46" s="129">
        <f>'6 LIIKEVAIHTO'!H11</f>
        <v>0</v>
      </c>
      <c r="G46" s="129">
        <f>'6 LIIKEVAIHTO'!I11</f>
        <v>0</v>
      </c>
      <c r="H46" s="129">
        <f>'6 LIIKEVAIHTO'!J11</f>
        <v>0</v>
      </c>
      <c r="J46" s="832" t="s">
        <v>933</v>
      </c>
    </row>
    <row r="47" spans="2:10" x14ac:dyDescent="0.35">
      <c r="B47" s="5" t="s">
        <v>935</v>
      </c>
      <c r="C47" s="129">
        <f t="shared" ref="C47:H47" si="0">C45-C46</f>
        <v>0</v>
      </c>
      <c r="D47" s="129">
        <f t="shared" si="0"/>
        <v>0</v>
      </c>
      <c r="E47" s="129">
        <f t="shared" si="0"/>
        <v>0</v>
      </c>
      <c r="F47" s="129">
        <f t="shared" si="0"/>
        <v>0</v>
      </c>
      <c r="G47" s="129">
        <f t="shared" si="0"/>
        <v>0</v>
      </c>
      <c r="H47" s="129">
        <f t="shared" si="0"/>
        <v>0</v>
      </c>
      <c r="J47" s="832" t="s">
        <v>933</v>
      </c>
    </row>
    <row r="48" spans="2:10" x14ac:dyDescent="0.35">
      <c r="B48" s="5" t="s">
        <v>936</v>
      </c>
      <c r="C48" s="833" t="e">
        <f t="shared" ref="C48:H48" si="1">C47/C45</f>
        <v>#DIV/0!</v>
      </c>
      <c r="D48" s="833" t="e">
        <f t="shared" si="1"/>
        <v>#DIV/0!</v>
      </c>
      <c r="E48" s="833" t="e">
        <f t="shared" si="1"/>
        <v>#DIV/0!</v>
      </c>
      <c r="F48" s="833" t="e">
        <f t="shared" si="1"/>
        <v>#DIV/0!</v>
      </c>
      <c r="G48" s="833" t="e">
        <f t="shared" si="1"/>
        <v>#DIV/0!</v>
      </c>
      <c r="H48" s="833" t="e">
        <f t="shared" si="1"/>
        <v>#DIV/0!</v>
      </c>
      <c r="J48" s="832" t="s">
        <v>933</v>
      </c>
    </row>
    <row r="50" spans="2:10" x14ac:dyDescent="0.35">
      <c r="B50" s="5" t="s">
        <v>280</v>
      </c>
      <c r="C50" s="129">
        <f>'8 RAHOITUSSUUNNITELMA'!F10</f>
        <v>0</v>
      </c>
      <c r="D50" s="129">
        <f>'8 RAHOITUSSUUNNITELMA'!G10</f>
        <v>0</v>
      </c>
      <c r="E50" s="129">
        <f>'8 RAHOITUSSUUNNITELMA'!H10</f>
        <v>0</v>
      </c>
      <c r="F50" s="129">
        <f>'8 RAHOITUSSUUNNITELMA'!I10</f>
        <v>0</v>
      </c>
      <c r="G50" s="129">
        <f>'8 RAHOITUSSUUNNITELMA'!J10</f>
        <v>0</v>
      </c>
      <c r="H50" s="129">
        <f>'8 RAHOITUSSUUNNITELMA'!K10</f>
        <v>0</v>
      </c>
      <c r="J50" s="832" t="s">
        <v>939</v>
      </c>
    </row>
    <row r="51" spans="2:10" x14ac:dyDescent="0.35">
      <c r="B51" s="5" t="s">
        <v>940</v>
      </c>
      <c r="C51" s="129">
        <f>'8 RAHOITUSSUUNNITELMA'!F16</f>
        <v>0</v>
      </c>
      <c r="D51" s="129">
        <f>'8 RAHOITUSSUUNNITELMA'!G16</f>
        <v>0</v>
      </c>
      <c r="E51" s="129">
        <f>'8 RAHOITUSSUUNNITELMA'!H16</f>
        <v>0</v>
      </c>
      <c r="F51" s="129">
        <f>'8 RAHOITUSSUUNNITELMA'!I16</f>
        <v>0</v>
      </c>
      <c r="G51" s="129">
        <f>'8 RAHOITUSSUUNNITELMA'!J16</f>
        <v>0</v>
      </c>
      <c r="H51" s="129">
        <f>'8 RAHOITUSSUUNNITELMA'!K16</f>
        <v>0</v>
      </c>
      <c r="J51" s="832" t="s">
        <v>939</v>
      </c>
    </row>
    <row r="52" spans="2:10" x14ac:dyDescent="0.35">
      <c r="B52" s="5" t="s">
        <v>941</v>
      </c>
      <c r="C52" s="129">
        <f>'8 RAHOITUSSUUNNITELMA'!F36</f>
        <v>0</v>
      </c>
      <c r="D52" s="129">
        <f>'8 RAHOITUSSUUNNITELMA'!G36</f>
        <v>0</v>
      </c>
      <c r="E52" s="129">
        <f>'8 RAHOITUSSUUNNITELMA'!H36</f>
        <v>0</v>
      </c>
      <c r="F52" s="129">
        <f>'8 RAHOITUSSUUNNITELMA'!I36</f>
        <v>0</v>
      </c>
      <c r="G52" s="129">
        <f>'8 RAHOITUSSUUNNITELMA'!J36</f>
        <v>0</v>
      </c>
      <c r="H52" s="129">
        <f>'8 RAHOITUSSUUNNITELMA'!K36</f>
        <v>0</v>
      </c>
      <c r="J52" s="832" t="s">
        <v>939</v>
      </c>
    </row>
    <row r="53" spans="2:10" x14ac:dyDescent="0.35">
      <c r="B53" s="5" t="s">
        <v>942</v>
      </c>
      <c r="C53" s="129">
        <f>'8 RAHOITUSSUUNNITELMA'!F37</f>
        <v>0</v>
      </c>
      <c r="D53" s="129">
        <f>'8 RAHOITUSSUUNNITELMA'!G37</f>
        <v>0</v>
      </c>
      <c r="E53" s="129">
        <f>'8 RAHOITUSSUUNNITELMA'!H37</f>
        <v>0</v>
      </c>
      <c r="F53" s="129">
        <f>'8 RAHOITUSSUUNNITELMA'!I37</f>
        <v>0</v>
      </c>
      <c r="G53" s="129">
        <f>'8 RAHOITUSSUUNNITELMA'!J37</f>
        <v>0</v>
      </c>
      <c r="H53" s="129">
        <f>'8 RAHOITUSSUUNNITELMA'!K37</f>
        <v>0</v>
      </c>
      <c r="J53" s="832" t="s">
        <v>939</v>
      </c>
    </row>
    <row r="54" spans="2:10" x14ac:dyDescent="0.35">
      <c r="B54" s="5" t="s">
        <v>324</v>
      </c>
      <c r="C54" s="129">
        <f>'8 RAHOITUSSUUNNITELMA'!F38</f>
        <v>0</v>
      </c>
      <c r="D54" s="129">
        <f>'8 RAHOITUSSUUNNITELMA'!G38</f>
        <v>0</v>
      </c>
      <c r="E54" s="129">
        <f>'8 RAHOITUSSUUNNITELMA'!H38</f>
        <v>0</v>
      </c>
      <c r="F54" s="129">
        <f>'8 RAHOITUSSUUNNITELMA'!I38</f>
        <v>0</v>
      </c>
      <c r="G54" s="129">
        <f>'8 RAHOITUSSUUNNITELMA'!J38</f>
        <v>0</v>
      </c>
      <c r="H54" s="129">
        <f>'8 RAHOITUSSUUNNITELMA'!K38</f>
        <v>0</v>
      </c>
      <c r="J54" s="832" t="s">
        <v>939</v>
      </c>
    </row>
    <row r="55" spans="2:10" x14ac:dyDescent="0.35">
      <c r="B55" s="5" t="s">
        <v>336</v>
      </c>
      <c r="C55" s="129">
        <f>'8 RAHOITUSSUUNNITELMA'!F44</f>
        <v>0</v>
      </c>
      <c r="D55" s="129">
        <f>'8 RAHOITUSSUUNNITELMA'!G44</f>
        <v>0</v>
      </c>
      <c r="E55" s="129">
        <f>'8 RAHOITUSSUUNNITELMA'!H44</f>
        <v>0</v>
      </c>
      <c r="F55" s="129">
        <f>'8 RAHOITUSSUUNNITELMA'!I44</f>
        <v>0</v>
      </c>
      <c r="G55" s="129">
        <f>'8 RAHOITUSSUUNNITELMA'!J44</f>
        <v>0</v>
      </c>
      <c r="H55" s="129">
        <f>'8 RAHOITUSSUUNNITELMA'!K44</f>
        <v>0</v>
      </c>
      <c r="J55" s="832" t="s">
        <v>939</v>
      </c>
    </row>
    <row r="56" spans="2:10" x14ac:dyDescent="0.35">
      <c r="B56" s="5" t="s">
        <v>337</v>
      </c>
      <c r="C56" s="129">
        <f>'8 RAHOITUSSUUNNITELMA'!F46</f>
        <v>0</v>
      </c>
      <c r="D56" s="129">
        <f>'8 RAHOITUSSUUNNITELMA'!G46</f>
        <v>0</v>
      </c>
      <c r="E56" s="129">
        <f>'8 RAHOITUSSUUNNITELMA'!H46</f>
        <v>0</v>
      </c>
      <c r="F56" s="129">
        <f>'8 RAHOITUSSUUNNITELMA'!I46</f>
        <v>0</v>
      </c>
      <c r="G56" s="129">
        <f>'8 RAHOITUSSUUNNITELMA'!J46</f>
        <v>0</v>
      </c>
      <c r="H56" s="129">
        <f>'8 RAHOITUSSUUNNITELMA'!K46</f>
        <v>0</v>
      </c>
      <c r="J56" s="832" t="s">
        <v>939</v>
      </c>
    </row>
    <row r="57" spans="2:10" x14ac:dyDescent="0.35">
      <c r="B57" s="5" t="s">
        <v>338</v>
      </c>
      <c r="C57" s="129">
        <f>'8 RAHOITUSSUUNNITELMA'!F48</f>
        <v>0</v>
      </c>
      <c r="D57" s="129">
        <f>'8 RAHOITUSSUUNNITELMA'!G48</f>
        <v>0</v>
      </c>
      <c r="E57" s="129">
        <f>'8 RAHOITUSSUUNNITELMA'!H48</f>
        <v>0</v>
      </c>
      <c r="F57" s="129">
        <f>'8 RAHOITUSSUUNNITELMA'!I48</f>
        <v>0</v>
      </c>
      <c r="G57" s="129">
        <f>'8 RAHOITUSSUUNNITELMA'!J48</f>
        <v>0</v>
      </c>
      <c r="H57" s="129">
        <f>'8 RAHOITUSSUUNNITELMA'!K48</f>
        <v>0</v>
      </c>
      <c r="J57" s="832" t="s">
        <v>939</v>
      </c>
    </row>
    <row r="58" spans="2:10" x14ac:dyDescent="0.35">
      <c r="B58" s="5" t="s">
        <v>943</v>
      </c>
      <c r="C58" s="129">
        <f>'8 RAHOITUSSUUNNITELMA'!F49</f>
        <v>0</v>
      </c>
      <c r="D58" s="129">
        <f>'8 RAHOITUSSUUNNITELMA'!G49</f>
        <v>0</v>
      </c>
      <c r="E58" s="129">
        <f>'8 RAHOITUSSUUNNITELMA'!H49</f>
        <v>0</v>
      </c>
      <c r="F58" s="129">
        <f>'8 RAHOITUSSUUNNITELMA'!I49</f>
        <v>0</v>
      </c>
      <c r="G58" s="129">
        <f>'8 RAHOITUSSUUNNITELMA'!J49</f>
        <v>0</v>
      </c>
      <c r="H58" s="129">
        <f>'8 RAHOITUSSUUNNITELMA'!K49</f>
        <v>0</v>
      </c>
      <c r="J58" s="832" t="s">
        <v>939</v>
      </c>
    </row>
    <row r="59" spans="2:10" x14ac:dyDescent="0.35">
      <c r="B59" s="5" t="s">
        <v>340</v>
      </c>
      <c r="C59" s="129">
        <f>'8 RAHOITUSSUUNNITELMA'!F51</f>
        <v>0</v>
      </c>
      <c r="D59" s="129">
        <f>'8 RAHOITUSSUUNNITELMA'!G51</f>
        <v>0</v>
      </c>
      <c r="E59" s="129">
        <f>'8 RAHOITUSSUUNNITELMA'!H51</f>
        <v>0</v>
      </c>
      <c r="F59" s="129">
        <f>'8 RAHOITUSSUUNNITELMA'!I51</f>
        <v>0</v>
      </c>
      <c r="G59" s="129">
        <f>'8 RAHOITUSSUUNNITELMA'!J51</f>
        <v>0</v>
      </c>
      <c r="H59" s="129">
        <f>'8 RAHOITUSSUUNNITELMA'!K51</f>
        <v>0</v>
      </c>
      <c r="J59" s="832" t="s">
        <v>939</v>
      </c>
    </row>
    <row r="60" spans="2:10" x14ac:dyDescent="0.35">
      <c r="B60" s="5" t="s">
        <v>341</v>
      </c>
      <c r="C60" s="129">
        <f>'8 RAHOITUSSUUNNITELMA'!F53</f>
        <v>0</v>
      </c>
      <c r="D60" s="129">
        <f>'8 RAHOITUSSUUNNITELMA'!G53</f>
        <v>0</v>
      </c>
      <c r="E60" s="129">
        <f>'8 RAHOITUSSUUNNITELMA'!H53</f>
        <v>0</v>
      </c>
      <c r="F60" s="129">
        <f>'8 RAHOITUSSUUNNITELMA'!I53</f>
        <v>0</v>
      </c>
      <c r="G60" s="129">
        <f>'8 RAHOITUSSUUNNITELMA'!J53</f>
        <v>0</v>
      </c>
      <c r="H60" s="129">
        <f>'8 RAHOITUSSUUNNITELMA'!K53</f>
        <v>0</v>
      </c>
      <c r="J60" s="832" t="s">
        <v>939</v>
      </c>
    </row>
    <row r="61" spans="2:10" x14ac:dyDescent="0.35">
      <c r="B61" s="5" t="s">
        <v>342</v>
      </c>
      <c r="C61" s="129">
        <f>'8 RAHOITUSSUUNNITELMA'!F55</f>
        <v>0</v>
      </c>
      <c r="D61" s="129">
        <f>'8 RAHOITUSSUUNNITELMA'!G55</f>
        <v>0</v>
      </c>
      <c r="E61" s="129">
        <f>'8 RAHOITUSSUUNNITELMA'!H55</f>
        <v>0</v>
      </c>
      <c r="F61" s="129">
        <f>'8 RAHOITUSSUUNNITELMA'!I55</f>
        <v>0</v>
      </c>
      <c r="G61" s="129">
        <f>'8 RAHOITUSSUUNNITELMA'!J55</f>
        <v>0</v>
      </c>
      <c r="H61" s="129">
        <f>'8 RAHOITUSSUUNNITELMA'!K55</f>
        <v>0</v>
      </c>
      <c r="J61" s="832" t="s">
        <v>939</v>
      </c>
    </row>
    <row r="63" spans="2:10" x14ac:dyDescent="0.35">
      <c r="B63" s="5" t="s">
        <v>947</v>
      </c>
      <c r="C63" s="129">
        <f>'8 RAHOITUSSUUNNITELMA'!N15</f>
        <v>0</v>
      </c>
      <c r="D63" s="129">
        <f>'8 RAHOITUSSUUNNITELMA'!O15</f>
        <v>0</v>
      </c>
      <c r="E63" s="129">
        <f>'8 RAHOITUSSUUNNITELMA'!P15</f>
        <v>0</v>
      </c>
      <c r="F63" s="129">
        <f>'8 RAHOITUSSUUNNITELMA'!Q15</f>
        <v>0</v>
      </c>
      <c r="G63" s="129">
        <f>'8 RAHOITUSSUUNNITELMA'!R15</f>
        <v>0</v>
      </c>
      <c r="H63" s="129">
        <f>'8 RAHOITUSSUUNNITELMA'!S15</f>
        <v>0</v>
      </c>
      <c r="J63" s="832" t="s">
        <v>939</v>
      </c>
    </row>
    <row r="64" spans="2:10" x14ac:dyDescent="0.35">
      <c r="B64" s="5" t="s">
        <v>349</v>
      </c>
      <c r="C64" s="833">
        <f>'8 RAHOITUSSUUNNITELMA'!N16</f>
        <v>0</v>
      </c>
      <c r="D64" s="833">
        <f>'8 RAHOITUSSUUNNITELMA'!O16</f>
        <v>0</v>
      </c>
      <c r="E64" s="833">
        <f>'8 RAHOITUSSUUNNITELMA'!P16</f>
        <v>0</v>
      </c>
      <c r="F64" s="833">
        <f>'8 RAHOITUSSUUNNITELMA'!Q16</f>
        <v>0</v>
      </c>
      <c r="G64" s="833">
        <f>'8 RAHOITUSSUUNNITELMA'!R16</f>
        <v>0</v>
      </c>
      <c r="H64" s="833">
        <f>'8 RAHOITUSSUUNNITELMA'!S16</f>
        <v>0</v>
      </c>
      <c r="J64" s="832" t="s">
        <v>939</v>
      </c>
    </row>
    <row r="65" spans="2:10" x14ac:dyDescent="0.35">
      <c r="B65" s="5" t="s">
        <v>948</v>
      </c>
      <c r="C65" s="129">
        <f>'8 RAHOITUSSUUNNITELMA'!N17</f>
        <v>0</v>
      </c>
      <c r="D65" s="129">
        <f>'8 RAHOITUSSUUNNITELMA'!O17</f>
        <v>0</v>
      </c>
      <c r="E65" s="129">
        <f>'8 RAHOITUSSUUNNITELMA'!P17</f>
        <v>0</v>
      </c>
      <c r="F65" s="129">
        <f>'8 RAHOITUSSUUNNITELMA'!Q17</f>
        <v>0</v>
      </c>
      <c r="G65" s="129">
        <f>'8 RAHOITUSSUUNNITELMA'!R17</f>
        <v>0</v>
      </c>
      <c r="H65" s="129">
        <f>'8 RAHOITUSSUUNNITELMA'!S17</f>
        <v>0</v>
      </c>
      <c r="J65" s="832" t="s">
        <v>939</v>
      </c>
    </row>
    <row r="66" spans="2:10" x14ac:dyDescent="0.35">
      <c r="B66" s="5" t="s">
        <v>351</v>
      </c>
      <c r="C66" s="833">
        <f>'8 RAHOITUSSUUNNITELMA'!N18</f>
        <v>0</v>
      </c>
      <c r="D66" s="833">
        <f>'8 RAHOITUSSUUNNITELMA'!O18</f>
        <v>0</v>
      </c>
      <c r="E66" s="833">
        <f>'8 RAHOITUSSUUNNITELMA'!P18</f>
        <v>0</v>
      </c>
      <c r="F66" s="833">
        <f>'8 RAHOITUSSUUNNITELMA'!Q18</f>
        <v>0</v>
      </c>
      <c r="G66" s="833">
        <f>'8 RAHOITUSSUUNNITELMA'!R18</f>
        <v>0</v>
      </c>
      <c r="H66" s="833">
        <f>'8 RAHOITUSSUUNNITELMA'!S18</f>
        <v>0</v>
      </c>
      <c r="J66" s="832" t="s">
        <v>939</v>
      </c>
    </row>
    <row r="67" spans="2:10" x14ac:dyDescent="0.35">
      <c r="B67" s="5" t="s">
        <v>353</v>
      </c>
      <c r="C67" s="129">
        <f>'8 RAHOITUSSUUNNITELMA'!N20</f>
        <v>0</v>
      </c>
      <c r="D67" s="129">
        <f>'8 RAHOITUSSUUNNITELMA'!O20</f>
        <v>0</v>
      </c>
      <c r="E67" s="129">
        <f>'8 RAHOITUSSUUNNITELMA'!P20</f>
        <v>0</v>
      </c>
      <c r="F67" s="129">
        <f>'8 RAHOITUSSUUNNITELMA'!Q20</f>
        <v>0</v>
      </c>
      <c r="G67" s="129">
        <f>'8 RAHOITUSSUUNNITELMA'!R20</f>
        <v>0</v>
      </c>
      <c r="H67" s="129">
        <f>'8 RAHOITUSSUUNNITELMA'!S20</f>
        <v>0</v>
      </c>
      <c r="J67" s="832" t="s">
        <v>939</v>
      </c>
    </row>
    <row r="68" spans="2:10" x14ac:dyDescent="0.35">
      <c r="B68" s="5" t="s">
        <v>354</v>
      </c>
      <c r="C68" s="833">
        <f>'8 RAHOITUSSUUNNITELMA'!N21</f>
        <v>0</v>
      </c>
      <c r="D68" s="833">
        <f>'8 RAHOITUSSUUNNITELMA'!O21</f>
        <v>0</v>
      </c>
      <c r="E68" s="833">
        <f>'8 RAHOITUSSUUNNITELMA'!P21</f>
        <v>0</v>
      </c>
      <c r="F68" s="833">
        <f>'8 RAHOITUSSUUNNITELMA'!Q21</f>
        <v>0</v>
      </c>
      <c r="G68" s="833">
        <f>'8 RAHOITUSSUUNNITELMA'!R21</f>
        <v>0</v>
      </c>
      <c r="H68" s="833">
        <f>'8 RAHOITUSSUUNNITELMA'!S21</f>
        <v>0</v>
      </c>
      <c r="J68" s="832" t="s">
        <v>939</v>
      </c>
    </row>
    <row r="69" spans="2:10" x14ac:dyDescent="0.35">
      <c r="B69" s="5" t="s">
        <v>623</v>
      </c>
      <c r="C69" s="129">
        <f>'8 RAHOITUSSUUNNITELMA'!N13</f>
        <v>0</v>
      </c>
      <c r="D69" s="129">
        <f>'8 RAHOITUSSUUNNITELMA'!O13</f>
        <v>0</v>
      </c>
      <c r="E69" s="129">
        <f>'8 RAHOITUSSUUNNITELMA'!P13</f>
        <v>0</v>
      </c>
      <c r="F69" s="129">
        <f>'8 RAHOITUSSUUNNITELMA'!Q13</f>
        <v>0</v>
      </c>
      <c r="G69" s="129">
        <f>'8 RAHOITUSSUUNNITELMA'!R13</f>
        <v>0</v>
      </c>
      <c r="H69" s="129">
        <f>'8 RAHOITUSSUUNNITELMA'!S13</f>
        <v>0</v>
      </c>
      <c r="J69" s="832" t="s">
        <v>939</v>
      </c>
    </row>
    <row r="70" spans="2:10" x14ac:dyDescent="0.35">
      <c r="B70" s="5" t="s">
        <v>355</v>
      </c>
      <c r="C70" s="833">
        <f>'8 RAHOITUSSUUNNITELMA'!N22</f>
        <v>0</v>
      </c>
      <c r="D70" s="833">
        <f>'8 RAHOITUSSUUNNITELMA'!O22</f>
        <v>0</v>
      </c>
      <c r="E70" s="833">
        <f>'8 RAHOITUSSUUNNITELMA'!P22</f>
        <v>0</v>
      </c>
      <c r="F70" s="833">
        <f>'8 RAHOITUSSUUNNITELMA'!Q22</f>
        <v>0</v>
      </c>
      <c r="G70" s="833">
        <f>'8 RAHOITUSSUUNNITELMA'!R22</f>
        <v>0</v>
      </c>
      <c r="H70" s="833">
        <f>'8 RAHOITUSSUUNNITELMA'!S22</f>
        <v>0</v>
      </c>
      <c r="J70" s="832" t="s">
        <v>939</v>
      </c>
    </row>
    <row r="71" spans="2:10" x14ac:dyDescent="0.35">
      <c r="B71" s="5" t="s">
        <v>280</v>
      </c>
      <c r="C71" s="129">
        <f>'8 RAHOITUSSUUNNITELMA'!F10</f>
        <v>0</v>
      </c>
      <c r="D71" s="129">
        <f>'8 RAHOITUSSUUNNITELMA'!G10</f>
        <v>0</v>
      </c>
      <c r="E71" s="129">
        <f>'8 RAHOITUSSUUNNITELMA'!H10</f>
        <v>0</v>
      </c>
      <c r="F71" s="129">
        <f>'8 RAHOITUSSUUNNITELMA'!I10</f>
        <v>0</v>
      </c>
      <c r="G71" s="129">
        <f>'8 RAHOITUSSUUNNITELMA'!J10</f>
        <v>0</v>
      </c>
      <c r="H71" s="129">
        <f>'8 RAHOITUSSUUNNITELMA'!K10</f>
        <v>0</v>
      </c>
      <c r="J71" s="832" t="s">
        <v>939</v>
      </c>
    </row>
    <row r="72" spans="2:10" x14ac:dyDescent="0.35">
      <c r="B72" s="5" t="s">
        <v>356</v>
      </c>
      <c r="C72" s="833">
        <f>'8 RAHOITUSSUUNNITELMA'!N23</f>
        <v>0</v>
      </c>
      <c r="D72" s="833">
        <f>'8 RAHOITUSSUUNNITELMA'!O23</f>
        <v>0</v>
      </c>
      <c r="E72" s="833">
        <f>'8 RAHOITUSSUUNNITELMA'!P23</f>
        <v>0</v>
      </c>
      <c r="F72" s="833">
        <f>'8 RAHOITUSSUUNNITELMA'!Q23</f>
        <v>0</v>
      </c>
      <c r="G72" s="833">
        <f>'8 RAHOITUSSUUNNITELMA'!R23</f>
        <v>0</v>
      </c>
      <c r="H72" s="833">
        <f>'8 RAHOITUSSUUNNITELMA'!S23</f>
        <v>0</v>
      </c>
      <c r="J72" s="832" t="s">
        <v>939</v>
      </c>
    </row>
    <row r="73" spans="2:10" x14ac:dyDescent="0.35">
      <c r="B73" s="5" t="s">
        <v>358</v>
      </c>
      <c r="C73" s="749">
        <f>'8 RAHOITUSSUUNNITELMA'!N26</f>
        <v>0</v>
      </c>
      <c r="D73" s="749">
        <f>'8 RAHOITUSSUUNNITELMA'!O26</f>
        <v>0</v>
      </c>
      <c r="E73" s="749">
        <f>'8 RAHOITUSSUUNNITELMA'!P26</f>
        <v>0</v>
      </c>
      <c r="F73" s="749">
        <f>'8 RAHOITUSSUUNNITELMA'!Q26</f>
        <v>0</v>
      </c>
      <c r="G73" s="749">
        <f>'8 RAHOITUSSUUNNITELMA'!R26</f>
        <v>0</v>
      </c>
      <c r="H73" s="749">
        <f>'8 RAHOITUSSUUNNITELMA'!S26</f>
        <v>0</v>
      </c>
      <c r="J73" s="832" t="s">
        <v>939</v>
      </c>
    </row>
    <row r="74" spans="2:10" x14ac:dyDescent="0.35">
      <c r="B74" s="5" t="s">
        <v>359</v>
      </c>
      <c r="C74" s="749">
        <f>'8 RAHOITUSSUUNNITELMA'!N28</f>
        <v>0</v>
      </c>
      <c r="D74" s="749">
        <f>'8 RAHOITUSSUUNNITELMA'!O28</f>
        <v>0</v>
      </c>
      <c r="E74" s="749">
        <f>'8 RAHOITUSSUUNNITELMA'!P28</f>
        <v>0</v>
      </c>
      <c r="F74" s="749">
        <f>'8 RAHOITUSSUUNNITELMA'!Q28</f>
        <v>0</v>
      </c>
      <c r="G74" s="749">
        <f>'8 RAHOITUSSUUNNITELMA'!R28</f>
        <v>0</v>
      </c>
      <c r="H74" s="749">
        <f>'8 RAHOITUSSUUNNITELMA'!S28</f>
        <v>0</v>
      </c>
      <c r="J74" s="832" t="s">
        <v>939</v>
      </c>
    </row>
    <row r="75" spans="2:10" x14ac:dyDescent="0.35">
      <c r="B75" s="5" t="s">
        <v>360</v>
      </c>
      <c r="C75" s="28">
        <f>'8 RAHOITUSSUUNNITELMA'!N30</f>
        <v>0</v>
      </c>
      <c r="D75" s="28">
        <f>'8 RAHOITUSSUUNNITELMA'!O30</f>
        <v>0</v>
      </c>
      <c r="E75" s="28">
        <f>'8 RAHOITUSSUUNNITELMA'!P30</f>
        <v>0</v>
      </c>
      <c r="F75" s="28">
        <f>'8 RAHOITUSSUUNNITELMA'!Q30</f>
        <v>0</v>
      </c>
      <c r="G75" s="28">
        <f>'8 RAHOITUSSUUNNITELMA'!R30</f>
        <v>0</v>
      </c>
      <c r="H75" s="28">
        <f>'8 RAHOITUSSUUNNITELMA'!S30</f>
        <v>0</v>
      </c>
      <c r="J75" s="832" t="s">
        <v>939</v>
      </c>
    </row>
    <row r="76" spans="2:10" x14ac:dyDescent="0.35">
      <c r="B76" s="5" t="s">
        <v>361</v>
      </c>
      <c r="C76" s="28">
        <f>'8 RAHOITUSSUUNNITELMA'!N31</f>
        <v>0</v>
      </c>
      <c r="D76" s="28">
        <f>'8 RAHOITUSSUUNNITELMA'!O31</f>
        <v>0</v>
      </c>
      <c r="E76" s="28">
        <f>'8 RAHOITUSSUUNNITELMA'!P31</f>
        <v>0</v>
      </c>
      <c r="F76" s="28">
        <f>'8 RAHOITUSSUUNNITELMA'!Q31</f>
        <v>0</v>
      </c>
      <c r="G76" s="28">
        <f>'8 RAHOITUSSUUNNITELMA'!R31</f>
        <v>0</v>
      </c>
      <c r="H76" s="28">
        <f>'8 RAHOITUSSUUNNITELMA'!S31</f>
        <v>0</v>
      </c>
      <c r="J76" s="832" t="s">
        <v>939</v>
      </c>
    </row>
    <row r="77" spans="2:10" x14ac:dyDescent="0.35">
      <c r="B77" s="5" t="s">
        <v>363</v>
      </c>
      <c r="C77" s="833">
        <f>'8 RAHOITUSSUUNNITELMA'!N34</f>
        <v>0</v>
      </c>
      <c r="D77" s="833">
        <f>'8 RAHOITUSSUUNNITELMA'!O34</f>
        <v>0</v>
      </c>
      <c r="E77" s="833">
        <f>'8 RAHOITUSSUUNNITELMA'!P34</f>
        <v>0</v>
      </c>
      <c r="F77" s="833">
        <f>'8 RAHOITUSSUUNNITELMA'!Q34</f>
        <v>0</v>
      </c>
      <c r="G77" s="833">
        <f>'8 RAHOITUSSUUNNITELMA'!R34</f>
        <v>0</v>
      </c>
      <c r="H77" s="833">
        <f>'8 RAHOITUSSUUNNITELMA'!S34</f>
        <v>0</v>
      </c>
      <c r="J77" s="832" t="s">
        <v>939</v>
      </c>
    </row>
    <row r="78" spans="2:10" x14ac:dyDescent="0.35">
      <c r="B78" s="5" t="s">
        <v>364</v>
      </c>
      <c r="C78" s="28">
        <f>'8 RAHOITUSSUUNNITELMA'!N36</f>
        <v>0</v>
      </c>
      <c r="D78" s="28">
        <f>'8 RAHOITUSSUUNNITELMA'!O36</f>
        <v>0</v>
      </c>
      <c r="E78" s="28">
        <f>'8 RAHOITUSSUUNNITELMA'!P36</f>
        <v>0</v>
      </c>
      <c r="F78" s="28">
        <f>'8 RAHOITUSSUUNNITELMA'!Q36</f>
        <v>0</v>
      </c>
      <c r="G78" s="28">
        <f>'8 RAHOITUSSUUNNITELMA'!R36</f>
        <v>0</v>
      </c>
      <c r="H78" s="28">
        <f>'8 RAHOITUSSUUNNITELMA'!S36</f>
        <v>0</v>
      </c>
      <c r="J78" s="832" t="s">
        <v>939</v>
      </c>
    </row>
    <row r="79" spans="2:10" x14ac:dyDescent="0.35">
      <c r="B79" s="5" t="s">
        <v>596</v>
      </c>
      <c r="C79" s="834">
        <f>'8 RAHOITUSSUUNNITELMA'!N41</f>
        <v>0</v>
      </c>
      <c r="D79" s="834">
        <f>'8 RAHOITUSSUUNNITELMA'!O41</f>
        <v>0</v>
      </c>
      <c r="E79" s="834">
        <f>'8 RAHOITUSSUUNNITELMA'!P41</f>
        <v>0</v>
      </c>
      <c r="F79" s="834">
        <f>'8 RAHOITUSSUUNNITELMA'!Q41</f>
        <v>0</v>
      </c>
      <c r="G79" s="834">
        <f>'8 RAHOITUSSUUNNITELMA'!R41</f>
        <v>0</v>
      </c>
      <c r="H79" s="834">
        <f>'8 RAHOITUSSUUNNITELMA'!S41</f>
        <v>0</v>
      </c>
      <c r="J79" s="832" t="s">
        <v>939</v>
      </c>
    </row>
    <row r="80" spans="2:10" x14ac:dyDescent="0.35">
      <c r="B80" s="5" t="s">
        <v>370</v>
      </c>
      <c r="C80" s="129">
        <f>'8 RAHOITUSSUUNNITELMA'!N48</f>
        <v>0</v>
      </c>
      <c r="D80" s="129">
        <f>'8 RAHOITUSSUUNNITELMA'!O48</f>
        <v>0</v>
      </c>
      <c r="E80" s="129">
        <f>'8 RAHOITUSSUUNNITELMA'!P48</f>
        <v>0</v>
      </c>
      <c r="F80" s="129">
        <f>'8 RAHOITUSSUUNNITELMA'!Q48</f>
        <v>0</v>
      </c>
      <c r="G80" s="129">
        <f>'8 RAHOITUSSUUNNITELMA'!R48</f>
        <v>0</v>
      </c>
      <c r="H80" s="129">
        <f>'8 RAHOITUSSUUNNITELMA'!S48</f>
        <v>0</v>
      </c>
      <c r="J80" s="832" t="s">
        <v>939</v>
      </c>
    </row>
    <row r="81" spans="2:10" x14ac:dyDescent="0.35">
      <c r="B81" s="5" t="s">
        <v>954</v>
      </c>
      <c r="C81" s="129">
        <f>'8 RAHOITUSSUUNNITELMA'!N49</f>
        <v>0</v>
      </c>
      <c r="D81" s="129">
        <f>'8 RAHOITUSSUUNNITELMA'!O49</f>
        <v>0</v>
      </c>
      <c r="E81" s="129">
        <f>'8 RAHOITUSSUUNNITELMA'!P49</f>
        <v>0</v>
      </c>
      <c r="F81" s="129">
        <f>'8 RAHOITUSSUUNNITELMA'!Q49</f>
        <v>0</v>
      </c>
      <c r="G81" s="129">
        <f>'8 RAHOITUSSUUNNITELMA'!R49</f>
        <v>0</v>
      </c>
      <c r="H81" s="129">
        <f>'8 RAHOITUSSUUNNITELMA'!S49</f>
        <v>0</v>
      </c>
      <c r="J81" s="832" t="s">
        <v>939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7B617-58A3-4F27-A1D3-8BD199E102DC}">
  <sheetPr codeName="Taul21">
    <tabColor rgb="FFFFC000"/>
  </sheetPr>
  <dimension ref="A1:G22"/>
  <sheetViews>
    <sheetView workbookViewId="0">
      <selection activeCell="E8" sqref="E8"/>
    </sheetView>
  </sheetViews>
  <sheetFormatPr defaultRowHeight="14.5" x14ac:dyDescent="0.35"/>
  <cols>
    <col min="1" max="1" width="3.7265625" customWidth="1"/>
    <col min="2" max="2" width="27.26953125" bestFit="1" customWidth="1"/>
    <col min="3" max="6" width="25.7265625" customWidth="1"/>
    <col min="7" max="7" width="25.54296875" customWidth="1"/>
  </cols>
  <sheetData>
    <row r="1" spans="1:7" x14ac:dyDescent="0.35">
      <c r="B1" s="1" t="s">
        <v>5</v>
      </c>
      <c r="C1" s="1" t="s">
        <v>2</v>
      </c>
      <c r="D1" s="1" t="s">
        <v>21</v>
      </c>
      <c r="E1" s="1" t="s">
        <v>33</v>
      </c>
      <c r="F1" s="1" t="s">
        <v>41</v>
      </c>
      <c r="G1" s="1" t="s">
        <v>352</v>
      </c>
    </row>
    <row r="2" spans="1:7" x14ac:dyDescent="0.35">
      <c r="B2" t="s">
        <v>3</v>
      </c>
      <c r="C2" t="s">
        <v>3</v>
      </c>
      <c r="D2" t="s">
        <v>3</v>
      </c>
      <c r="E2" s="2">
        <v>0</v>
      </c>
      <c r="F2" t="s">
        <v>42</v>
      </c>
      <c r="G2" t="s">
        <v>631</v>
      </c>
    </row>
    <row r="3" spans="1:7" x14ac:dyDescent="0.35">
      <c r="A3">
        <v>1</v>
      </c>
      <c r="B3" t="s">
        <v>15</v>
      </c>
      <c r="C3" t="s">
        <v>0</v>
      </c>
      <c r="D3" t="s">
        <v>22</v>
      </c>
      <c r="E3" s="2">
        <v>0.1</v>
      </c>
      <c r="F3" t="s">
        <v>43</v>
      </c>
      <c r="G3" t="s">
        <v>633</v>
      </c>
    </row>
    <row r="4" spans="1:7" x14ac:dyDescent="0.35">
      <c r="A4">
        <v>2</v>
      </c>
      <c r="B4" t="s">
        <v>18</v>
      </c>
      <c r="C4" t="s">
        <v>1</v>
      </c>
      <c r="D4" t="s">
        <v>27</v>
      </c>
      <c r="E4" s="2">
        <v>0.13500000000000001</v>
      </c>
      <c r="F4" t="s">
        <v>44</v>
      </c>
      <c r="G4" t="s">
        <v>632</v>
      </c>
    </row>
    <row r="5" spans="1:7" x14ac:dyDescent="0.35">
      <c r="A5">
        <v>3</v>
      </c>
      <c r="B5" t="s">
        <v>19</v>
      </c>
      <c r="D5" t="s">
        <v>24</v>
      </c>
      <c r="E5" s="2">
        <v>0.255</v>
      </c>
      <c r="F5" t="s">
        <v>45</v>
      </c>
    </row>
    <row r="6" spans="1:7" x14ac:dyDescent="0.35">
      <c r="A6">
        <v>4</v>
      </c>
      <c r="B6" t="s">
        <v>13</v>
      </c>
      <c r="D6" t="s">
        <v>23</v>
      </c>
      <c r="F6" t="s">
        <v>46</v>
      </c>
    </row>
    <row r="7" spans="1:7" x14ac:dyDescent="0.35">
      <c r="A7">
        <v>5</v>
      </c>
      <c r="B7" t="s">
        <v>14</v>
      </c>
      <c r="D7" t="s">
        <v>28</v>
      </c>
      <c r="F7" t="s">
        <v>47</v>
      </c>
    </row>
    <row r="8" spans="1:7" x14ac:dyDescent="0.35">
      <c r="A8">
        <v>6</v>
      </c>
      <c r="B8" t="s">
        <v>12</v>
      </c>
      <c r="F8" t="s">
        <v>48</v>
      </c>
    </row>
    <row r="9" spans="1:7" x14ac:dyDescent="0.35">
      <c r="A9">
        <v>7</v>
      </c>
      <c r="B9" t="s">
        <v>6</v>
      </c>
      <c r="F9" t="s">
        <v>49</v>
      </c>
    </row>
    <row r="10" spans="1:7" x14ac:dyDescent="0.35">
      <c r="A10">
        <v>8</v>
      </c>
      <c r="B10" t="s">
        <v>30</v>
      </c>
      <c r="F10" t="s">
        <v>50</v>
      </c>
    </row>
    <row r="11" spans="1:7" x14ac:dyDescent="0.35">
      <c r="A11">
        <v>9</v>
      </c>
      <c r="B11" t="s">
        <v>10</v>
      </c>
      <c r="F11" t="s">
        <v>51</v>
      </c>
    </row>
    <row r="12" spans="1:7" x14ac:dyDescent="0.35">
      <c r="A12">
        <v>10</v>
      </c>
      <c r="B12" t="s">
        <v>16</v>
      </c>
      <c r="F12" t="s">
        <v>52</v>
      </c>
    </row>
    <row r="13" spans="1:7" x14ac:dyDescent="0.35">
      <c r="A13">
        <v>11</v>
      </c>
      <c r="B13" t="s">
        <v>17</v>
      </c>
      <c r="F13" t="s">
        <v>53</v>
      </c>
    </row>
    <row r="14" spans="1:7" x14ac:dyDescent="0.35">
      <c r="A14">
        <v>12</v>
      </c>
    </row>
    <row r="15" spans="1:7" x14ac:dyDescent="0.35">
      <c r="A15">
        <v>13</v>
      </c>
    </row>
    <row r="16" spans="1:7" x14ac:dyDescent="0.35">
      <c r="A16">
        <v>14</v>
      </c>
    </row>
    <row r="17" spans="1:1" x14ac:dyDescent="0.35">
      <c r="A17">
        <v>15</v>
      </c>
    </row>
    <row r="18" spans="1:1" x14ac:dyDescent="0.35">
      <c r="A18">
        <v>16</v>
      </c>
    </row>
    <row r="19" spans="1:1" x14ac:dyDescent="0.35">
      <c r="A19">
        <v>17</v>
      </c>
    </row>
    <row r="20" spans="1:1" x14ac:dyDescent="0.35">
      <c r="A20">
        <v>18</v>
      </c>
    </row>
    <row r="21" spans="1:1" x14ac:dyDescent="0.35">
      <c r="A21">
        <v>19</v>
      </c>
    </row>
    <row r="22" spans="1:1" x14ac:dyDescent="0.35">
      <c r="A22">
        <v>20</v>
      </c>
    </row>
  </sheetData>
  <sortState xmlns:xlrd2="http://schemas.microsoft.com/office/spreadsheetml/2017/richdata2" ref="D3:D6">
    <sortCondition ref="D3:D6"/>
  </sortState>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69C5-CD49-4964-A3CC-C6B2ED77F54B}">
  <sheetPr codeName="Taul2"/>
  <dimension ref="B2:N38"/>
  <sheetViews>
    <sheetView workbookViewId="0">
      <selection activeCell="R26" sqref="R26"/>
    </sheetView>
  </sheetViews>
  <sheetFormatPr defaultColWidth="8.7265625" defaultRowHeight="14.5" x14ac:dyDescent="0.35"/>
  <cols>
    <col min="1" max="1" width="2.7265625" style="5" customWidth="1"/>
    <col min="2" max="4" width="25.7265625" style="5" customWidth="1"/>
    <col min="5" max="5" width="6.7265625" style="10" customWidth="1"/>
    <col min="6" max="6" width="20.453125" style="10" bestFit="1" customWidth="1"/>
    <col min="7" max="8" width="14.7265625" style="10" customWidth="1"/>
    <col min="9" max="10" width="12.7265625" style="5" customWidth="1"/>
    <col min="11" max="11" width="11.7265625" style="5" customWidth="1"/>
    <col min="12" max="13" width="12.7265625" style="5" customWidth="1"/>
    <col min="14" max="14" width="11.7265625" style="5" customWidth="1"/>
    <col min="15" max="16384" width="8.7265625" style="5"/>
  </cols>
  <sheetData>
    <row r="2" spans="2:14" ht="21" x14ac:dyDescent="0.5">
      <c r="B2" s="16" t="s">
        <v>35</v>
      </c>
    </row>
    <row r="5" spans="2:14" ht="16" x14ac:dyDescent="0.4">
      <c r="B5" s="33" t="s">
        <v>54</v>
      </c>
      <c r="C5" s="3"/>
      <c r="D5" s="3"/>
      <c r="E5" s="997" t="s">
        <v>85</v>
      </c>
      <c r="F5" s="998"/>
      <c r="G5" s="998"/>
      <c r="H5" s="999"/>
      <c r="I5" s="997" t="s">
        <v>84</v>
      </c>
      <c r="J5" s="998"/>
      <c r="K5" s="999"/>
      <c r="L5" s="997" t="s">
        <v>34</v>
      </c>
      <c r="M5" s="999"/>
      <c r="N5" s="66" t="s">
        <v>32</v>
      </c>
    </row>
    <row r="6" spans="2:14" x14ac:dyDescent="0.35">
      <c r="B6" s="17" t="s">
        <v>4</v>
      </c>
      <c r="C6" s="17" t="s">
        <v>5</v>
      </c>
      <c r="D6" s="17" t="s">
        <v>2</v>
      </c>
      <c r="E6" s="54" t="s">
        <v>20</v>
      </c>
      <c r="F6" s="18" t="s">
        <v>21</v>
      </c>
      <c r="G6" s="19" t="s">
        <v>25</v>
      </c>
      <c r="H6" s="55" t="s">
        <v>26</v>
      </c>
      <c r="I6" s="60" t="s">
        <v>29</v>
      </c>
      <c r="J6" s="19" t="s">
        <v>31</v>
      </c>
      <c r="K6" s="55" t="s">
        <v>32</v>
      </c>
      <c r="L6" s="60" t="s">
        <v>33</v>
      </c>
      <c r="M6" s="55" t="s">
        <v>34</v>
      </c>
      <c r="N6" s="63" t="s">
        <v>32</v>
      </c>
    </row>
    <row r="7" spans="2:14" x14ac:dyDescent="0.35">
      <c r="B7" s="36" t="s">
        <v>11</v>
      </c>
      <c r="C7" s="7" t="s">
        <v>18</v>
      </c>
      <c r="D7" s="8" t="s">
        <v>0</v>
      </c>
      <c r="E7" s="56">
        <v>5</v>
      </c>
      <c r="F7" s="9" t="s">
        <v>22</v>
      </c>
      <c r="G7" s="39">
        <v>10</v>
      </c>
      <c r="H7" s="57">
        <f>E7*G7</f>
        <v>50</v>
      </c>
      <c r="I7" s="61">
        <v>0.5</v>
      </c>
      <c r="J7" s="13">
        <f>K7-H7</f>
        <v>50</v>
      </c>
      <c r="K7" s="57">
        <f>H7/(100%-I7)</f>
        <v>100</v>
      </c>
      <c r="L7" s="61">
        <v>0.255</v>
      </c>
      <c r="M7" s="57">
        <f>K7*L7</f>
        <v>25.5</v>
      </c>
      <c r="N7" s="64">
        <f>K7+M7</f>
        <v>125.5</v>
      </c>
    </row>
    <row r="8" spans="2:14" x14ac:dyDescent="0.35">
      <c r="B8" s="36"/>
      <c r="C8" s="7" t="s">
        <v>3</v>
      </c>
      <c r="D8" s="8" t="s">
        <v>3</v>
      </c>
      <c r="E8" s="56"/>
      <c r="F8" s="9" t="s">
        <v>3</v>
      </c>
      <c r="G8" s="39"/>
      <c r="H8" s="57">
        <f t="shared" ref="H8:H18" si="0">E8*G8</f>
        <v>0</v>
      </c>
      <c r="I8" s="61"/>
      <c r="J8" s="13">
        <f t="shared" ref="J8:J18" si="1">K8-H8</f>
        <v>0</v>
      </c>
      <c r="K8" s="57">
        <f t="shared" ref="K8:K18" si="2">H8/(100%-I8)</f>
        <v>0</v>
      </c>
      <c r="L8" s="61">
        <v>0</v>
      </c>
      <c r="M8" s="57">
        <f t="shared" ref="M8:M18" si="3">K8*L8</f>
        <v>0</v>
      </c>
      <c r="N8" s="64">
        <f t="shared" ref="N8:N18" si="4">K8+M8</f>
        <v>0</v>
      </c>
    </row>
    <row r="9" spans="2:14" x14ac:dyDescent="0.35">
      <c r="B9" s="36"/>
      <c r="C9" s="7" t="s">
        <v>3</v>
      </c>
      <c r="D9" s="8" t="s">
        <v>3</v>
      </c>
      <c r="E9" s="56"/>
      <c r="F9" s="9" t="s">
        <v>3</v>
      </c>
      <c r="G9" s="39"/>
      <c r="H9" s="57">
        <f t="shared" si="0"/>
        <v>0</v>
      </c>
      <c r="I9" s="61"/>
      <c r="J9" s="13">
        <f t="shared" si="1"/>
        <v>0</v>
      </c>
      <c r="K9" s="57">
        <f t="shared" si="2"/>
        <v>0</v>
      </c>
      <c r="L9" s="61">
        <v>0</v>
      </c>
      <c r="M9" s="57">
        <f t="shared" si="3"/>
        <v>0</v>
      </c>
      <c r="N9" s="64">
        <f t="shared" si="4"/>
        <v>0</v>
      </c>
    </row>
    <row r="10" spans="2:14" x14ac:dyDescent="0.35">
      <c r="B10" s="36"/>
      <c r="C10" s="7" t="s">
        <v>3</v>
      </c>
      <c r="D10" s="8" t="s">
        <v>3</v>
      </c>
      <c r="E10" s="56"/>
      <c r="F10" s="9" t="s">
        <v>3</v>
      </c>
      <c r="G10" s="39"/>
      <c r="H10" s="57">
        <f t="shared" si="0"/>
        <v>0</v>
      </c>
      <c r="I10" s="61"/>
      <c r="J10" s="13">
        <f t="shared" si="1"/>
        <v>0</v>
      </c>
      <c r="K10" s="57">
        <f t="shared" si="2"/>
        <v>0</v>
      </c>
      <c r="L10" s="61">
        <v>0</v>
      </c>
      <c r="M10" s="57">
        <f t="shared" si="3"/>
        <v>0</v>
      </c>
      <c r="N10" s="64">
        <f t="shared" si="4"/>
        <v>0</v>
      </c>
    </row>
    <row r="11" spans="2:14" x14ac:dyDescent="0.35">
      <c r="B11" s="36"/>
      <c r="C11" s="7" t="s">
        <v>3</v>
      </c>
      <c r="D11" s="8" t="s">
        <v>3</v>
      </c>
      <c r="E11" s="56"/>
      <c r="F11" s="9" t="s">
        <v>3</v>
      </c>
      <c r="G11" s="39"/>
      <c r="H11" s="57">
        <f t="shared" si="0"/>
        <v>0</v>
      </c>
      <c r="I11" s="61"/>
      <c r="J11" s="13">
        <f t="shared" si="1"/>
        <v>0</v>
      </c>
      <c r="K11" s="57">
        <f t="shared" si="2"/>
        <v>0</v>
      </c>
      <c r="L11" s="61">
        <v>0</v>
      </c>
      <c r="M11" s="57">
        <f t="shared" si="3"/>
        <v>0</v>
      </c>
      <c r="N11" s="64">
        <f t="shared" si="4"/>
        <v>0</v>
      </c>
    </row>
    <row r="12" spans="2:14" x14ac:dyDescent="0.35">
      <c r="B12" s="36"/>
      <c r="C12" s="7" t="s">
        <v>3</v>
      </c>
      <c r="D12" s="8" t="s">
        <v>3</v>
      </c>
      <c r="E12" s="56"/>
      <c r="F12" s="9" t="s">
        <v>3</v>
      </c>
      <c r="G12" s="39"/>
      <c r="H12" s="57">
        <f t="shared" si="0"/>
        <v>0</v>
      </c>
      <c r="I12" s="61"/>
      <c r="J12" s="13">
        <f t="shared" si="1"/>
        <v>0</v>
      </c>
      <c r="K12" s="57">
        <f t="shared" si="2"/>
        <v>0</v>
      </c>
      <c r="L12" s="61">
        <v>0</v>
      </c>
      <c r="M12" s="57">
        <f t="shared" si="3"/>
        <v>0</v>
      </c>
      <c r="N12" s="64">
        <f t="shared" si="4"/>
        <v>0</v>
      </c>
    </row>
    <row r="13" spans="2:14" x14ac:dyDescent="0.35">
      <c r="B13" s="36"/>
      <c r="C13" s="7" t="s">
        <v>3</v>
      </c>
      <c r="D13" s="8" t="s">
        <v>3</v>
      </c>
      <c r="E13" s="56"/>
      <c r="F13" s="9" t="s">
        <v>3</v>
      </c>
      <c r="G13" s="39"/>
      <c r="H13" s="57">
        <f t="shared" si="0"/>
        <v>0</v>
      </c>
      <c r="I13" s="61"/>
      <c r="J13" s="13">
        <f t="shared" si="1"/>
        <v>0</v>
      </c>
      <c r="K13" s="57">
        <f t="shared" si="2"/>
        <v>0</v>
      </c>
      <c r="L13" s="61">
        <v>0</v>
      </c>
      <c r="M13" s="57">
        <f t="shared" si="3"/>
        <v>0</v>
      </c>
      <c r="N13" s="64">
        <f t="shared" si="4"/>
        <v>0</v>
      </c>
    </row>
    <row r="14" spans="2:14" x14ac:dyDescent="0.35">
      <c r="B14" s="36"/>
      <c r="C14" s="7" t="s">
        <v>3</v>
      </c>
      <c r="D14" s="8" t="s">
        <v>3</v>
      </c>
      <c r="E14" s="56"/>
      <c r="F14" s="9" t="s">
        <v>3</v>
      </c>
      <c r="G14" s="39"/>
      <c r="H14" s="57">
        <f t="shared" si="0"/>
        <v>0</v>
      </c>
      <c r="I14" s="61"/>
      <c r="J14" s="13">
        <f t="shared" si="1"/>
        <v>0</v>
      </c>
      <c r="K14" s="57">
        <f t="shared" si="2"/>
        <v>0</v>
      </c>
      <c r="L14" s="61">
        <v>0</v>
      </c>
      <c r="M14" s="57">
        <f t="shared" si="3"/>
        <v>0</v>
      </c>
      <c r="N14" s="64">
        <f t="shared" si="4"/>
        <v>0</v>
      </c>
    </row>
    <row r="15" spans="2:14" x14ac:dyDescent="0.35">
      <c r="B15" s="36"/>
      <c r="C15" s="7" t="s">
        <v>3</v>
      </c>
      <c r="D15" s="8" t="s">
        <v>3</v>
      </c>
      <c r="E15" s="56"/>
      <c r="F15" s="9" t="s">
        <v>3</v>
      </c>
      <c r="G15" s="39"/>
      <c r="H15" s="57">
        <f t="shared" si="0"/>
        <v>0</v>
      </c>
      <c r="I15" s="61"/>
      <c r="J15" s="13">
        <f t="shared" si="1"/>
        <v>0</v>
      </c>
      <c r="K15" s="57">
        <f t="shared" si="2"/>
        <v>0</v>
      </c>
      <c r="L15" s="61">
        <v>0</v>
      </c>
      <c r="M15" s="57">
        <f t="shared" si="3"/>
        <v>0</v>
      </c>
      <c r="N15" s="64">
        <f t="shared" si="4"/>
        <v>0</v>
      </c>
    </row>
    <row r="16" spans="2:14" x14ac:dyDescent="0.35">
      <c r="B16" s="36"/>
      <c r="C16" s="7" t="s">
        <v>3</v>
      </c>
      <c r="D16" s="8" t="s">
        <v>3</v>
      </c>
      <c r="E16" s="56"/>
      <c r="F16" s="9" t="s">
        <v>3</v>
      </c>
      <c r="G16" s="39"/>
      <c r="H16" s="57">
        <f t="shared" si="0"/>
        <v>0</v>
      </c>
      <c r="I16" s="61"/>
      <c r="J16" s="13">
        <f t="shared" si="1"/>
        <v>0</v>
      </c>
      <c r="K16" s="57">
        <f t="shared" si="2"/>
        <v>0</v>
      </c>
      <c r="L16" s="61">
        <v>0</v>
      </c>
      <c r="M16" s="57">
        <f t="shared" si="3"/>
        <v>0</v>
      </c>
      <c r="N16" s="64">
        <f t="shared" si="4"/>
        <v>0</v>
      </c>
    </row>
    <row r="17" spans="2:14" x14ac:dyDescent="0.35">
      <c r="B17" s="36"/>
      <c r="C17" s="7" t="s">
        <v>3</v>
      </c>
      <c r="D17" s="8" t="s">
        <v>3</v>
      </c>
      <c r="E17" s="56"/>
      <c r="F17" s="9" t="s">
        <v>3</v>
      </c>
      <c r="G17" s="39"/>
      <c r="H17" s="57">
        <f t="shared" si="0"/>
        <v>0</v>
      </c>
      <c r="I17" s="61"/>
      <c r="J17" s="13">
        <f t="shared" si="1"/>
        <v>0</v>
      </c>
      <c r="K17" s="57">
        <f t="shared" si="2"/>
        <v>0</v>
      </c>
      <c r="L17" s="61">
        <v>0</v>
      </c>
      <c r="M17" s="57">
        <f t="shared" si="3"/>
        <v>0</v>
      </c>
      <c r="N17" s="64">
        <f t="shared" si="4"/>
        <v>0</v>
      </c>
    </row>
    <row r="18" spans="2:14" ht="15" thickBot="1" x14ac:dyDescent="0.4">
      <c r="B18" s="37"/>
      <c r="C18" s="7" t="s">
        <v>3</v>
      </c>
      <c r="D18" s="8" t="s">
        <v>3</v>
      </c>
      <c r="E18" s="56"/>
      <c r="F18" s="9" t="s">
        <v>3</v>
      </c>
      <c r="G18" s="39"/>
      <c r="H18" s="57">
        <f t="shared" si="0"/>
        <v>0</v>
      </c>
      <c r="I18" s="61"/>
      <c r="J18" s="13">
        <f t="shared" si="1"/>
        <v>0</v>
      </c>
      <c r="K18" s="57">
        <f t="shared" si="2"/>
        <v>0</v>
      </c>
      <c r="L18" s="61">
        <v>0</v>
      </c>
      <c r="M18" s="57">
        <f t="shared" si="3"/>
        <v>0</v>
      </c>
      <c r="N18" s="64">
        <f t="shared" si="4"/>
        <v>0</v>
      </c>
    </row>
    <row r="19" spans="2:14" ht="15" thickTop="1" x14ac:dyDescent="0.35">
      <c r="B19" s="20"/>
      <c r="C19" s="20"/>
      <c r="D19" s="20"/>
      <c r="E19" s="58"/>
      <c r="F19" s="21"/>
      <c r="G19" s="22"/>
      <c r="H19" s="59">
        <f>SUM(H7:H18)</f>
        <v>50</v>
      </c>
      <c r="I19" s="62"/>
      <c r="J19" s="22">
        <f>SUM(J7:J18)</f>
        <v>50</v>
      </c>
      <c r="K19" s="59">
        <f>SUM(K7:K18)</f>
        <v>100</v>
      </c>
      <c r="L19" s="62"/>
      <c r="M19" s="59">
        <f>SUM(M7:M18)</f>
        <v>25.5</v>
      </c>
      <c r="N19" s="65">
        <f>SUM(N7:N18)</f>
        <v>125.5</v>
      </c>
    </row>
    <row r="20" spans="2:14" s="24" customFormat="1" x14ac:dyDescent="0.35">
      <c r="B20" s="24" t="s">
        <v>40</v>
      </c>
      <c r="E20" s="25"/>
      <c r="F20" s="25"/>
      <c r="G20" s="25"/>
      <c r="H20" s="25"/>
      <c r="J20" s="26">
        <f>J19/K19</f>
        <v>0.5</v>
      </c>
    </row>
    <row r="23" spans="2:14" ht="16" x14ac:dyDescent="0.4">
      <c r="B23" s="33" t="s">
        <v>57</v>
      </c>
      <c r="C23" s="3"/>
      <c r="D23" s="3"/>
      <c r="E23" s="4"/>
      <c r="F23" s="4"/>
      <c r="G23" s="4"/>
      <c r="H23" s="4"/>
      <c r="I23" s="3"/>
      <c r="J23" s="3"/>
      <c r="K23" s="3"/>
      <c r="L23" s="3"/>
      <c r="M23" s="3"/>
      <c r="N23" s="3"/>
    </row>
    <row r="24" spans="2:14" x14ac:dyDescent="0.35">
      <c r="B24" s="17" t="s">
        <v>4</v>
      </c>
      <c r="C24" s="17" t="s">
        <v>5</v>
      </c>
      <c r="D24" s="17" t="s">
        <v>2</v>
      </c>
      <c r="E24" s="18" t="s">
        <v>20</v>
      </c>
      <c r="F24" s="18" t="s">
        <v>21</v>
      </c>
      <c r="G24" s="19" t="s">
        <v>25</v>
      </c>
      <c r="H24" s="19" t="s">
        <v>26</v>
      </c>
      <c r="I24" s="19" t="s">
        <v>29</v>
      </c>
      <c r="J24" s="19" t="s">
        <v>31</v>
      </c>
      <c r="K24" s="19" t="s">
        <v>32</v>
      </c>
      <c r="L24" s="19" t="s">
        <v>33</v>
      </c>
      <c r="M24" s="19" t="s">
        <v>34</v>
      </c>
      <c r="N24" s="19" t="s">
        <v>32</v>
      </c>
    </row>
    <row r="25" spans="2:14" x14ac:dyDescent="0.35">
      <c r="B25" s="36" t="s">
        <v>11</v>
      </c>
      <c r="C25" s="7" t="s">
        <v>18</v>
      </c>
      <c r="D25" s="8" t="s">
        <v>0</v>
      </c>
      <c r="E25" s="38">
        <v>10</v>
      </c>
      <c r="F25" s="9" t="s">
        <v>22</v>
      </c>
      <c r="G25" s="39">
        <v>20</v>
      </c>
      <c r="H25" s="13">
        <f>E25*G25</f>
        <v>200</v>
      </c>
      <c r="I25" s="40">
        <v>0.5</v>
      </c>
      <c r="J25" s="13">
        <f>K25-H25</f>
        <v>200</v>
      </c>
      <c r="K25" s="13">
        <f>H25/(100%-I25)</f>
        <v>400</v>
      </c>
      <c r="L25" s="40">
        <v>0.255</v>
      </c>
      <c r="M25" s="13">
        <f>K25*L25</f>
        <v>102</v>
      </c>
      <c r="N25" s="13">
        <f>K25+M25</f>
        <v>502</v>
      </c>
    </row>
    <row r="26" spans="2:14" x14ac:dyDescent="0.35">
      <c r="B26" s="36"/>
      <c r="C26" s="7" t="s">
        <v>3</v>
      </c>
      <c r="D26" s="8" t="s">
        <v>3</v>
      </c>
      <c r="E26" s="38"/>
      <c r="F26" s="9" t="s">
        <v>3</v>
      </c>
      <c r="G26" s="39"/>
      <c r="H26" s="13">
        <f t="shared" ref="H26:H36" si="5">E26*G26</f>
        <v>0</v>
      </c>
      <c r="I26" s="40"/>
      <c r="J26" s="13">
        <f t="shared" ref="J26:J36" si="6">K26-H26</f>
        <v>0</v>
      </c>
      <c r="K26" s="13">
        <f t="shared" ref="K26:K36" si="7">H26/(100%-I26)</f>
        <v>0</v>
      </c>
      <c r="L26" s="40">
        <v>0</v>
      </c>
      <c r="M26" s="13">
        <f t="shared" ref="M26:M36" si="8">K26*L26</f>
        <v>0</v>
      </c>
      <c r="N26" s="13">
        <f t="shared" ref="N26:N36" si="9">K26+M26</f>
        <v>0</v>
      </c>
    </row>
    <row r="27" spans="2:14" x14ac:dyDescent="0.35">
      <c r="B27" s="36"/>
      <c r="C27" s="7" t="s">
        <v>3</v>
      </c>
      <c r="D27" s="8" t="s">
        <v>3</v>
      </c>
      <c r="E27" s="38"/>
      <c r="F27" s="9" t="s">
        <v>3</v>
      </c>
      <c r="G27" s="39"/>
      <c r="H27" s="13">
        <f t="shared" si="5"/>
        <v>0</v>
      </c>
      <c r="I27" s="40"/>
      <c r="J27" s="13">
        <f t="shared" si="6"/>
        <v>0</v>
      </c>
      <c r="K27" s="13">
        <f t="shared" si="7"/>
        <v>0</v>
      </c>
      <c r="L27" s="40">
        <v>0</v>
      </c>
      <c r="M27" s="13">
        <f t="shared" si="8"/>
        <v>0</v>
      </c>
      <c r="N27" s="13">
        <f t="shared" si="9"/>
        <v>0</v>
      </c>
    </row>
    <row r="28" spans="2:14" x14ac:dyDescent="0.35">
      <c r="B28" s="36"/>
      <c r="C28" s="7" t="s">
        <v>3</v>
      </c>
      <c r="D28" s="8" t="s">
        <v>3</v>
      </c>
      <c r="E28" s="38"/>
      <c r="F28" s="9" t="s">
        <v>3</v>
      </c>
      <c r="G28" s="39"/>
      <c r="H28" s="13">
        <f t="shared" si="5"/>
        <v>0</v>
      </c>
      <c r="I28" s="40"/>
      <c r="J28" s="13">
        <f t="shared" si="6"/>
        <v>0</v>
      </c>
      <c r="K28" s="13">
        <f t="shared" si="7"/>
        <v>0</v>
      </c>
      <c r="L28" s="40">
        <v>0</v>
      </c>
      <c r="M28" s="13">
        <f t="shared" si="8"/>
        <v>0</v>
      </c>
      <c r="N28" s="13">
        <f t="shared" si="9"/>
        <v>0</v>
      </c>
    </row>
    <row r="29" spans="2:14" x14ac:dyDescent="0.35">
      <c r="B29" s="36"/>
      <c r="C29" s="7" t="s">
        <v>3</v>
      </c>
      <c r="D29" s="8" t="s">
        <v>3</v>
      </c>
      <c r="E29" s="38"/>
      <c r="F29" s="9" t="s">
        <v>3</v>
      </c>
      <c r="G29" s="39"/>
      <c r="H29" s="13">
        <f t="shared" si="5"/>
        <v>0</v>
      </c>
      <c r="I29" s="40"/>
      <c r="J29" s="13">
        <f t="shared" si="6"/>
        <v>0</v>
      </c>
      <c r="K29" s="13">
        <f t="shared" si="7"/>
        <v>0</v>
      </c>
      <c r="L29" s="40">
        <v>0</v>
      </c>
      <c r="M29" s="13">
        <f t="shared" si="8"/>
        <v>0</v>
      </c>
      <c r="N29" s="13">
        <f t="shared" si="9"/>
        <v>0</v>
      </c>
    </row>
    <row r="30" spans="2:14" x14ac:dyDescent="0.35">
      <c r="B30" s="36"/>
      <c r="C30" s="7" t="s">
        <v>3</v>
      </c>
      <c r="D30" s="8" t="s">
        <v>3</v>
      </c>
      <c r="E30" s="38"/>
      <c r="F30" s="9" t="s">
        <v>3</v>
      </c>
      <c r="G30" s="39"/>
      <c r="H30" s="13">
        <f t="shared" si="5"/>
        <v>0</v>
      </c>
      <c r="I30" s="40"/>
      <c r="J30" s="13">
        <f t="shared" si="6"/>
        <v>0</v>
      </c>
      <c r="K30" s="13">
        <f t="shared" si="7"/>
        <v>0</v>
      </c>
      <c r="L30" s="40">
        <v>0</v>
      </c>
      <c r="M30" s="13">
        <f t="shared" si="8"/>
        <v>0</v>
      </c>
      <c r="N30" s="13">
        <f t="shared" si="9"/>
        <v>0</v>
      </c>
    </row>
    <row r="31" spans="2:14" x14ac:dyDescent="0.35">
      <c r="B31" s="36"/>
      <c r="C31" s="7" t="s">
        <v>3</v>
      </c>
      <c r="D31" s="8" t="s">
        <v>3</v>
      </c>
      <c r="E31" s="38"/>
      <c r="F31" s="9" t="s">
        <v>3</v>
      </c>
      <c r="G31" s="39"/>
      <c r="H31" s="13">
        <f t="shared" si="5"/>
        <v>0</v>
      </c>
      <c r="I31" s="40"/>
      <c r="J31" s="13">
        <f t="shared" si="6"/>
        <v>0</v>
      </c>
      <c r="K31" s="13">
        <f t="shared" si="7"/>
        <v>0</v>
      </c>
      <c r="L31" s="40">
        <v>0</v>
      </c>
      <c r="M31" s="13">
        <f t="shared" si="8"/>
        <v>0</v>
      </c>
      <c r="N31" s="13">
        <f t="shared" si="9"/>
        <v>0</v>
      </c>
    </row>
    <row r="32" spans="2:14" x14ac:dyDescent="0.35">
      <c r="B32" s="36"/>
      <c r="C32" s="7" t="s">
        <v>3</v>
      </c>
      <c r="D32" s="8" t="s">
        <v>3</v>
      </c>
      <c r="E32" s="38"/>
      <c r="F32" s="9" t="s">
        <v>3</v>
      </c>
      <c r="G32" s="39"/>
      <c r="H32" s="13">
        <f t="shared" si="5"/>
        <v>0</v>
      </c>
      <c r="I32" s="40"/>
      <c r="J32" s="13">
        <f t="shared" si="6"/>
        <v>0</v>
      </c>
      <c r="K32" s="13">
        <f t="shared" si="7"/>
        <v>0</v>
      </c>
      <c r="L32" s="40">
        <v>0</v>
      </c>
      <c r="M32" s="13">
        <f t="shared" si="8"/>
        <v>0</v>
      </c>
      <c r="N32" s="13">
        <f t="shared" si="9"/>
        <v>0</v>
      </c>
    </row>
    <row r="33" spans="2:14" x14ac:dyDescent="0.35">
      <c r="B33" s="36"/>
      <c r="C33" s="7" t="s">
        <v>3</v>
      </c>
      <c r="D33" s="8" t="s">
        <v>3</v>
      </c>
      <c r="E33" s="38"/>
      <c r="F33" s="9" t="s">
        <v>3</v>
      </c>
      <c r="G33" s="39"/>
      <c r="H33" s="13">
        <f t="shared" si="5"/>
        <v>0</v>
      </c>
      <c r="I33" s="40"/>
      <c r="J33" s="13">
        <f t="shared" si="6"/>
        <v>0</v>
      </c>
      <c r="K33" s="13">
        <f t="shared" si="7"/>
        <v>0</v>
      </c>
      <c r="L33" s="40">
        <v>0</v>
      </c>
      <c r="M33" s="13">
        <f t="shared" si="8"/>
        <v>0</v>
      </c>
      <c r="N33" s="13">
        <f t="shared" si="9"/>
        <v>0</v>
      </c>
    </row>
    <row r="34" spans="2:14" x14ac:dyDescent="0.35">
      <c r="B34" s="36"/>
      <c r="C34" s="7" t="s">
        <v>3</v>
      </c>
      <c r="D34" s="8" t="s">
        <v>3</v>
      </c>
      <c r="E34" s="38"/>
      <c r="F34" s="9" t="s">
        <v>3</v>
      </c>
      <c r="G34" s="39"/>
      <c r="H34" s="13">
        <f t="shared" si="5"/>
        <v>0</v>
      </c>
      <c r="I34" s="40"/>
      <c r="J34" s="13">
        <f t="shared" si="6"/>
        <v>0</v>
      </c>
      <c r="K34" s="13">
        <f t="shared" si="7"/>
        <v>0</v>
      </c>
      <c r="L34" s="40">
        <v>0</v>
      </c>
      <c r="M34" s="13">
        <f t="shared" si="8"/>
        <v>0</v>
      </c>
      <c r="N34" s="13">
        <f t="shared" si="9"/>
        <v>0</v>
      </c>
    </row>
    <row r="35" spans="2:14" x14ac:dyDescent="0.35">
      <c r="B35" s="36"/>
      <c r="C35" s="7" t="s">
        <v>3</v>
      </c>
      <c r="D35" s="8" t="s">
        <v>3</v>
      </c>
      <c r="E35" s="38"/>
      <c r="F35" s="9" t="s">
        <v>3</v>
      </c>
      <c r="G35" s="39"/>
      <c r="H35" s="13">
        <f t="shared" si="5"/>
        <v>0</v>
      </c>
      <c r="I35" s="40"/>
      <c r="J35" s="13">
        <f t="shared" si="6"/>
        <v>0</v>
      </c>
      <c r="K35" s="13">
        <f t="shared" si="7"/>
        <v>0</v>
      </c>
      <c r="L35" s="40">
        <v>0</v>
      </c>
      <c r="M35" s="13">
        <f t="shared" si="8"/>
        <v>0</v>
      </c>
      <c r="N35" s="13">
        <f t="shared" si="9"/>
        <v>0</v>
      </c>
    </row>
    <row r="36" spans="2:14" ht="15" thickBot="1" x14ac:dyDescent="0.4">
      <c r="B36" s="37"/>
      <c r="C36" s="7" t="s">
        <v>3</v>
      </c>
      <c r="D36" s="8" t="s">
        <v>3</v>
      </c>
      <c r="E36" s="38"/>
      <c r="F36" s="9" t="s">
        <v>3</v>
      </c>
      <c r="G36" s="39"/>
      <c r="H36" s="13">
        <f t="shared" si="5"/>
        <v>0</v>
      </c>
      <c r="I36" s="40"/>
      <c r="J36" s="13">
        <f t="shared" si="6"/>
        <v>0</v>
      </c>
      <c r="K36" s="13">
        <f t="shared" si="7"/>
        <v>0</v>
      </c>
      <c r="L36" s="40">
        <v>0</v>
      </c>
      <c r="M36" s="13">
        <f t="shared" si="8"/>
        <v>0</v>
      </c>
      <c r="N36" s="13">
        <f t="shared" si="9"/>
        <v>0</v>
      </c>
    </row>
    <row r="37" spans="2:14" ht="15" thickTop="1" x14ac:dyDescent="0.35">
      <c r="B37" s="20"/>
      <c r="C37" s="20"/>
      <c r="D37" s="20"/>
      <c r="E37" s="21"/>
      <c r="F37" s="21"/>
      <c r="G37" s="22"/>
      <c r="H37" s="22">
        <f>SUM(H25:H36)</f>
        <v>200</v>
      </c>
      <c r="I37" s="23"/>
      <c r="J37" s="22">
        <f>SUM(J25:J36)</f>
        <v>200</v>
      </c>
      <c r="K37" s="22">
        <f>SUM(K25:K36)</f>
        <v>400</v>
      </c>
      <c r="L37" s="23"/>
      <c r="M37" s="22">
        <f>SUM(M25:M36)</f>
        <v>102</v>
      </c>
      <c r="N37" s="22">
        <f>SUM(N25:N36)</f>
        <v>502</v>
      </c>
    </row>
    <row r="38" spans="2:14" x14ac:dyDescent="0.35">
      <c r="B38" s="24" t="s">
        <v>40</v>
      </c>
      <c r="C38" s="24"/>
      <c r="D38" s="24"/>
      <c r="E38" s="25"/>
      <c r="F38" s="25"/>
      <c r="G38" s="25"/>
      <c r="H38" s="25"/>
      <c r="I38" s="24"/>
      <c r="J38" s="26">
        <f>J37/K37</f>
        <v>0.5</v>
      </c>
      <c r="K38" s="24"/>
      <c r="L38" s="24"/>
      <c r="M38" s="24"/>
      <c r="N38" s="24"/>
    </row>
  </sheetData>
  <mergeCells count="3">
    <mergeCell ref="I5:K5"/>
    <mergeCell ref="L5:M5"/>
    <mergeCell ref="E5:H5"/>
  </mergeCell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62EB6B1-7A19-493D-B280-012B4FBE6DB0}">
          <x14:formula1>
            <xm:f>Parametrit!$C$2:$C$4</xm:f>
          </x14:formula1>
          <xm:sqref>D7:D18 D25:D36</xm:sqref>
        </x14:dataValidation>
        <x14:dataValidation type="list" allowBlank="1" showInputMessage="1" showErrorMessage="1" xr:uid="{E03AA080-7099-435F-9702-9051ED431CA6}">
          <x14:formula1>
            <xm:f>Parametrit!$D$2:$D$7</xm:f>
          </x14:formula1>
          <xm:sqref>F7:F18 F25:F36</xm:sqref>
        </x14:dataValidation>
        <x14:dataValidation type="list" allowBlank="1" showInputMessage="1" showErrorMessage="1" xr:uid="{19056124-B932-4849-9ADF-BA515223EA5C}">
          <x14:formula1>
            <xm:f>Parametrit!$B$2:$B$15</xm:f>
          </x14:formula1>
          <xm:sqref>C7:C18 C25:C36</xm:sqref>
        </x14:dataValidation>
        <x14:dataValidation type="list" allowBlank="1" showInputMessage="1" showErrorMessage="1" xr:uid="{6159BA10-7168-499F-9661-9E86B324302A}">
          <x14:formula1>
            <xm:f>Parametrit!$E$2:$E$5</xm:f>
          </x14:formula1>
          <xm:sqref>L7:L18 L25:L36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10C40-EE50-4B6C-BEAB-908D0138FF88}">
  <sheetPr codeName="Taul4"/>
  <dimension ref="B5:B9"/>
  <sheetViews>
    <sheetView workbookViewId="0">
      <selection activeCell="R26" sqref="R26"/>
    </sheetView>
  </sheetViews>
  <sheetFormatPr defaultRowHeight="14.5" x14ac:dyDescent="0.35"/>
  <sheetData>
    <row r="5" spans="2:2" x14ac:dyDescent="0.35">
      <c r="B5" t="s">
        <v>184</v>
      </c>
    </row>
    <row r="6" spans="2:2" x14ac:dyDescent="0.35">
      <c r="B6" t="s">
        <v>185</v>
      </c>
    </row>
    <row r="7" spans="2:2" x14ac:dyDescent="0.35">
      <c r="B7" t="s">
        <v>187</v>
      </c>
    </row>
    <row r="8" spans="2:2" x14ac:dyDescent="0.35">
      <c r="B8" t="s">
        <v>186</v>
      </c>
    </row>
    <row r="9" spans="2:2" x14ac:dyDescent="0.35">
      <c r="B9" t="s">
        <v>203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8B421-30AF-4CFB-8AC1-92E1C035F3C2}">
  <sheetPr codeName="Taul6"/>
  <dimension ref="D6:D14"/>
  <sheetViews>
    <sheetView workbookViewId="0">
      <selection activeCell="R26" sqref="R26"/>
    </sheetView>
  </sheetViews>
  <sheetFormatPr defaultRowHeight="14.5" x14ac:dyDescent="0.35"/>
  <cols>
    <col min="4" max="4" width="36.1796875" customWidth="1"/>
  </cols>
  <sheetData>
    <row r="6" spans="4:4" x14ac:dyDescent="0.35">
      <c r="D6" s="1000" t="s">
        <v>205</v>
      </c>
    </row>
    <row r="7" spans="4:4" x14ac:dyDescent="0.35">
      <c r="D7" s="1001"/>
    </row>
    <row r="8" spans="4:4" x14ac:dyDescent="0.35">
      <c r="D8" s="1001"/>
    </row>
    <row r="9" spans="4:4" x14ac:dyDescent="0.35">
      <c r="D9" s="1001"/>
    </row>
    <row r="10" spans="4:4" x14ac:dyDescent="0.35">
      <c r="D10" s="1001"/>
    </row>
    <row r="11" spans="4:4" x14ac:dyDescent="0.35">
      <c r="D11" s="1001"/>
    </row>
    <row r="12" spans="4:4" x14ac:dyDescent="0.35">
      <c r="D12" s="1001"/>
    </row>
    <row r="13" spans="4:4" x14ac:dyDescent="0.35">
      <c r="D13" s="1001"/>
    </row>
    <row r="14" spans="4:4" x14ac:dyDescent="0.35">
      <c r="D14" s="1002"/>
    </row>
  </sheetData>
  <mergeCells count="1">
    <mergeCell ref="D6:D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B0090-3428-4720-B3FE-E6AE8B6A4926}">
  <sheetPr codeName="Taul7"/>
  <dimension ref="B2:Q12"/>
  <sheetViews>
    <sheetView workbookViewId="0">
      <selection activeCell="R26" sqref="R26"/>
    </sheetView>
  </sheetViews>
  <sheetFormatPr defaultColWidth="8.7265625" defaultRowHeight="14.5" x14ac:dyDescent="0.35"/>
  <cols>
    <col min="1" max="1" width="2.7265625" style="5" customWidth="1"/>
    <col min="2" max="2" width="10.7265625" style="5" customWidth="1"/>
    <col min="3" max="16" width="10.7265625" style="10" customWidth="1"/>
    <col min="17" max="16384" width="8.7265625" style="5"/>
  </cols>
  <sheetData>
    <row r="2" spans="2:17" ht="21" x14ac:dyDescent="0.5">
      <c r="B2" s="16" t="s">
        <v>55</v>
      </c>
      <c r="C2" s="27"/>
    </row>
    <row r="5" spans="2:17" x14ac:dyDescent="0.35">
      <c r="B5" s="3"/>
      <c r="C5" s="4"/>
      <c r="D5" s="43">
        <v>1</v>
      </c>
      <c r="E5" s="43">
        <v>2</v>
      </c>
      <c r="F5" s="43">
        <v>3</v>
      </c>
      <c r="G5" s="43">
        <v>4</v>
      </c>
      <c r="H5" s="43">
        <v>5</v>
      </c>
      <c r="I5" s="43">
        <v>6</v>
      </c>
      <c r="J5" s="43">
        <v>7</v>
      </c>
      <c r="K5" s="43">
        <v>8</v>
      </c>
      <c r="L5" s="43">
        <v>9</v>
      </c>
      <c r="M5" s="43">
        <v>10</v>
      </c>
      <c r="N5" s="43">
        <v>11</v>
      </c>
      <c r="O5" s="43">
        <v>12</v>
      </c>
      <c r="P5" s="4"/>
    </row>
    <row r="6" spans="2:17" x14ac:dyDescent="0.35">
      <c r="B6" s="17" t="s">
        <v>61</v>
      </c>
      <c r="C6" s="18" t="s">
        <v>62</v>
      </c>
      <c r="D6" s="47" t="s">
        <v>42</v>
      </c>
      <c r="E6" s="18" t="s">
        <v>43</v>
      </c>
      <c r="F6" s="18" t="s">
        <v>44</v>
      </c>
      <c r="G6" s="47" t="s">
        <v>45</v>
      </c>
      <c r="H6" s="18" t="s">
        <v>46</v>
      </c>
      <c r="I6" s="18" t="s">
        <v>47</v>
      </c>
      <c r="J6" s="47" t="s">
        <v>48</v>
      </c>
      <c r="K6" s="18" t="s">
        <v>49</v>
      </c>
      <c r="L6" s="18" t="s">
        <v>50</v>
      </c>
      <c r="M6" s="47" t="s">
        <v>51</v>
      </c>
      <c r="N6" s="18" t="s">
        <v>52</v>
      </c>
      <c r="O6" s="18" t="s">
        <v>53</v>
      </c>
      <c r="P6" s="52" t="s">
        <v>39</v>
      </c>
      <c r="Q6" s="51"/>
    </row>
    <row r="7" spans="2:17" x14ac:dyDescent="0.35">
      <c r="B7" s="45" t="s">
        <v>54</v>
      </c>
      <c r="C7" s="13">
        <f>HINNOITTELU!M23</f>
        <v>3890.5</v>
      </c>
      <c r="D7" s="90"/>
      <c r="E7" s="91"/>
      <c r="F7" s="91"/>
      <c r="G7" s="90"/>
      <c r="H7" s="91">
        <v>4</v>
      </c>
      <c r="I7" s="91">
        <v>6</v>
      </c>
      <c r="J7" s="90">
        <v>7</v>
      </c>
      <c r="K7" s="91">
        <v>8</v>
      </c>
      <c r="L7" s="91"/>
      <c r="M7" s="90"/>
      <c r="N7" s="91"/>
      <c r="O7" s="91"/>
      <c r="P7" s="48">
        <f>SUM(D7:O7)</f>
        <v>25</v>
      </c>
      <c r="Q7" s="51"/>
    </row>
    <row r="8" spans="2:17" x14ac:dyDescent="0.35">
      <c r="B8" s="45" t="s">
        <v>57</v>
      </c>
      <c r="C8" s="13"/>
      <c r="D8" s="90"/>
      <c r="E8" s="91"/>
      <c r="F8" s="91"/>
      <c r="G8" s="90">
        <v>3</v>
      </c>
      <c r="H8" s="91">
        <v>5</v>
      </c>
      <c r="I8" s="91"/>
      <c r="J8" s="90"/>
      <c r="K8" s="91"/>
      <c r="L8" s="91">
        <v>4</v>
      </c>
      <c r="M8" s="90">
        <v>5</v>
      </c>
      <c r="N8" s="91"/>
      <c r="O8" s="91"/>
      <c r="P8" s="49">
        <f t="shared" ref="P8:P10" si="0">SUM(D8:O8)</f>
        <v>17</v>
      </c>
      <c r="Q8" s="51"/>
    </row>
    <row r="9" spans="2:17" x14ac:dyDescent="0.35">
      <c r="B9" s="45" t="s">
        <v>58</v>
      </c>
      <c r="C9" s="13"/>
      <c r="D9" s="90"/>
      <c r="E9" s="91"/>
      <c r="F9" s="91"/>
      <c r="G9" s="90"/>
      <c r="H9" s="91"/>
      <c r="I9" s="91"/>
      <c r="J9" s="90"/>
      <c r="K9" s="91"/>
      <c r="L9" s="91"/>
      <c r="M9" s="90"/>
      <c r="N9" s="91"/>
      <c r="O9" s="91"/>
      <c r="P9" s="49">
        <f t="shared" si="0"/>
        <v>0</v>
      </c>
      <c r="Q9" s="51"/>
    </row>
    <row r="10" spans="2:17" x14ac:dyDescent="0.35">
      <c r="B10" s="45" t="s">
        <v>59</v>
      </c>
      <c r="C10" s="13"/>
      <c r="D10" s="90"/>
      <c r="E10" s="91"/>
      <c r="F10" s="91"/>
      <c r="G10" s="90"/>
      <c r="H10" s="91"/>
      <c r="I10" s="91"/>
      <c r="J10" s="90"/>
      <c r="K10" s="91"/>
      <c r="L10" s="91"/>
      <c r="M10" s="90"/>
      <c r="N10" s="91"/>
      <c r="O10" s="91"/>
      <c r="P10" s="49">
        <f t="shared" si="0"/>
        <v>0</v>
      </c>
      <c r="Q10" s="51"/>
    </row>
    <row r="11" spans="2:17" ht="15" thickBot="1" x14ac:dyDescent="0.4">
      <c r="B11" s="46" t="s">
        <v>60</v>
      </c>
      <c r="C11" s="89"/>
      <c r="D11" s="92"/>
      <c r="E11" s="93"/>
      <c r="F11" s="93"/>
      <c r="G11" s="92"/>
      <c r="H11" s="93"/>
      <c r="I11" s="93"/>
      <c r="J11" s="92"/>
      <c r="K11" s="93"/>
      <c r="L11" s="93"/>
      <c r="M11" s="92"/>
      <c r="N11" s="93"/>
      <c r="O11" s="93"/>
      <c r="P11" s="50">
        <f>SUM(D11:O11)</f>
        <v>0</v>
      </c>
      <c r="Q11" s="51"/>
    </row>
    <row r="12" spans="2:17" ht="15" thickTop="1" x14ac:dyDescent="0.35">
      <c r="B12" s="14" t="s">
        <v>83</v>
      </c>
      <c r="C12" s="44"/>
      <c r="D12" s="44">
        <f>SUM(D7:D11)</f>
        <v>0</v>
      </c>
      <c r="E12" s="44">
        <f t="shared" ref="E12:P12" si="1">SUM(E7:E11)</f>
        <v>0</v>
      </c>
      <c r="F12" s="44">
        <f t="shared" si="1"/>
        <v>0</v>
      </c>
      <c r="G12" s="44">
        <f t="shared" si="1"/>
        <v>3</v>
      </c>
      <c r="H12" s="44">
        <f t="shared" si="1"/>
        <v>9</v>
      </c>
      <c r="I12" s="44">
        <f t="shared" si="1"/>
        <v>6</v>
      </c>
      <c r="J12" s="44">
        <f t="shared" si="1"/>
        <v>7</v>
      </c>
      <c r="K12" s="44">
        <f t="shared" si="1"/>
        <v>8</v>
      </c>
      <c r="L12" s="44">
        <f t="shared" si="1"/>
        <v>4</v>
      </c>
      <c r="M12" s="44">
        <f t="shared" si="1"/>
        <v>5</v>
      </c>
      <c r="N12" s="44">
        <f t="shared" si="1"/>
        <v>0</v>
      </c>
      <c r="O12" s="44">
        <f t="shared" si="1"/>
        <v>0</v>
      </c>
      <c r="P12" s="44">
        <f t="shared" si="1"/>
        <v>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4445D-DACB-484C-946A-02666A94E687}">
  <sheetPr codeName="Taul8"/>
  <dimension ref="B2:O85"/>
  <sheetViews>
    <sheetView workbookViewId="0">
      <pane xSplit="1" ySplit="6" topLeftCell="B7" activePane="bottomRight" state="frozen"/>
      <selection activeCell="R26" sqref="R26"/>
      <selection pane="topRight" activeCell="R26" sqref="R26"/>
      <selection pane="bottomLeft" activeCell="R26" sqref="R26"/>
      <selection pane="bottomRight" activeCell="R26" sqref="R26"/>
    </sheetView>
  </sheetViews>
  <sheetFormatPr defaultColWidth="8.7265625" defaultRowHeight="14.5" outlineLevelRow="1" x14ac:dyDescent="0.35"/>
  <cols>
    <col min="1" max="1" width="2.7265625" style="5" customWidth="1"/>
    <col min="2" max="2" width="40.7265625" style="5" customWidth="1"/>
    <col min="3" max="15" width="11.7265625" style="5" customWidth="1"/>
    <col min="16" max="16384" width="8.7265625" style="5"/>
  </cols>
  <sheetData>
    <row r="2" spans="2:15" ht="21" x14ac:dyDescent="0.5">
      <c r="B2" s="16" t="s">
        <v>1</v>
      </c>
    </row>
    <row r="5" spans="2:15" x14ac:dyDescent="0.35">
      <c r="C5" s="32" t="s">
        <v>42</v>
      </c>
      <c r="D5" s="32" t="s">
        <v>43</v>
      </c>
      <c r="E5" s="32" t="s">
        <v>44</v>
      </c>
      <c r="F5" s="32" t="s">
        <v>45</v>
      </c>
      <c r="G5" s="32" t="s">
        <v>46</v>
      </c>
      <c r="H5" s="32" t="s">
        <v>47</v>
      </c>
      <c r="I5" s="32" t="s">
        <v>48</v>
      </c>
      <c r="J5" s="32" t="s">
        <v>49</v>
      </c>
      <c r="K5" s="32" t="s">
        <v>50</v>
      </c>
      <c r="L5" s="32" t="s">
        <v>51</v>
      </c>
      <c r="M5" s="32" t="s">
        <v>52</v>
      </c>
      <c r="N5" s="32" t="s">
        <v>53</v>
      </c>
    </row>
    <row r="6" spans="2:15" x14ac:dyDescent="0.35">
      <c r="B6" s="3"/>
      <c r="C6" s="97">
        <v>1</v>
      </c>
      <c r="D6" s="97">
        <v>2</v>
      </c>
      <c r="E6" s="97">
        <v>3</v>
      </c>
      <c r="F6" s="97">
        <v>4</v>
      </c>
      <c r="G6" s="97">
        <v>5</v>
      </c>
      <c r="H6" s="97">
        <v>6</v>
      </c>
      <c r="I6" s="97">
        <v>7</v>
      </c>
      <c r="J6" s="97">
        <v>8</v>
      </c>
      <c r="K6" s="97">
        <v>9</v>
      </c>
      <c r="L6" s="97">
        <v>10</v>
      </c>
      <c r="M6" s="97">
        <v>11</v>
      </c>
      <c r="N6" s="97">
        <v>12</v>
      </c>
      <c r="O6" s="100" t="s">
        <v>83</v>
      </c>
    </row>
    <row r="7" spans="2:15" x14ac:dyDescent="0.35">
      <c r="B7" s="96" t="s">
        <v>135</v>
      </c>
      <c r="C7" s="53"/>
      <c r="D7" s="53"/>
      <c r="E7" s="53"/>
      <c r="F7" s="53"/>
      <c r="G7" s="53"/>
      <c r="H7" s="53"/>
      <c r="I7" s="53"/>
      <c r="J7" s="53"/>
      <c r="K7" s="53"/>
      <c r="L7" s="53"/>
      <c r="M7" s="53"/>
      <c r="N7" s="53"/>
      <c r="O7" s="53">
        <f>SUM(C7:N7)</f>
        <v>0</v>
      </c>
    </row>
    <row r="8" spans="2:15" outlineLevel="1" x14ac:dyDescent="0.35">
      <c r="B8" s="99" t="s">
        <v>127</v>
      </c>
      <c r="C8" s="53"/>
      <c r="D8" s="53"/>
      <c r="E8" s="53"/>
      <c r="F8" s="53"/>
      <c r="G8" s="53"/>
      <c r="H8" s="53"/>
      <c r="I8" s="53"/>
      <c r="J8" s="53"/>
      <c r="K8" s="53"/>
      <c r="L8" s="53"/>
      <c r="M8" s="53"/>
      <c r="N8" s="53"/>
      <c r="O8" s="53">
        <f t="shared" ref="O8:O63" si="0">SUM(C8:N8)</f>
        <v>0</v>
      </c>
    </row>
    <row r="9" spans="2:15" outlineLevel="1" x14ac:dyDescent="0.35">
      <c r="B9" s="99" t="s">
        <v>128</v>
      </c>
      <c r="C9" s="53"/>
      <c r="D9" s="53"/>
      <c r="E9" s="53"/>
      <c r="F9" s="53"/>
      <c r="G9" s="53"/>
      <c r="H9" s="53"/>
      <c r="I9" s="53"/>
      <c r="J9" s="53"/>
      <c r="K9" s="53"/>
      <c r="L9" s="53"/>
      <c r="M9" s="53"/>
      <c r="N9" s="53"/>
      <c r="O9" s="53">
        <f t="shared" si="0"/>
        <v>0</v>
      </c>
    </row>
    <row r="10" spans="2:15" outlineLevel="1" x14ac:dyDescent="0.35">
      <c r="B10" s="99" t="s">
        <v>129</v>
      </c>
      <c r="C10" s="53"/>
      <c r="D10" s="53"/>
      <c r="E10" s="53"/>
      <c r="F10" s="53"/>
      <c r="G10" s="53"/>
      <c r="H10" s="53"/>
      <c r="I10" s="53"/>
      <c r="J10" s="53"/>
      <c r="K10" s="53"/>
      <c r="L10" s="53"/>
      <c r="M10" s="53"/>
      <c r="N10" s="53"/>
      <c r="O10" s="53">
        <f t="shared" si="0"/>
        <v>0</v>
      </c>
    </row>
    <row r="11" spans="2:15" outlineLevel="1" x14ac:dyDescent="0.35">
      <c r="B11" s="99" t="s">
        <v>130</v>
      </c>
      <c r="C11" s="53"/>
      <c r="D11" s="53"/>
      <c r="E11" s="53"/>
      <c r="F11" s="53"/>
      <c r="G11" s="53"/>
      <c r="H11" s="53"/>
      <c r="I11" s="53"/>
      <c r="J11" s="53"/>
      <c r="K11" s="53"/>
      <c r="L11" s="53"/>
      <c r="M11" s="53"/>
      <c r="N11" s="53"/>
      <c r="O11" s="53">
        <f t="shared" si="0"/>
        <v>0</v>
      </c>
    </row>
    <row r="12" spans="2:15" outlineLevel="1" x14ac:dyDescent="0.35">
      <c r="B12" s="99" t="s">
        <v>131</v>
      </c>
      <c r="C12" s="53"/>
      <c r="D12" s="53"/>
      <c r="E12" s="53"/>
      <c r="F12" s="53"/>
      <c r="G12" s="53"/>
      <c r="H12" s="53"/>
      <c r="I12" s="53"/>
      <c r="J12" s="53"/>
      <c r="K12" s="53"/>
      <c r="L12" s="53"/>
      <c r="M12" s="53"/>
      <c r="N12" s="53"/>
      <c r="O12" s="53">
        <f t="shared" si="0"/>
        <v>0</v>
      </c>
    </row>
    <row r="13" spans="2:15" outlineLevel="1" x14ac:dyDescent="0.35">
      <c r="B13" s="99" t="s">
        <v>132</v>
      </c>
      <c r="C13" s="53"/>
      <c r="D13" s="53"/>
      <c r="E13" s="53"/>
      <c r="F13" s="53"/>
      <c r="G13" s="53"/>
      <c r="H13" s="53"/>
      <c r="I13" s="53"/>
      <c r="J13" s="53"/>
      <c r="K13" s="53"/>
      <c r="L13" s="53"/>
      <c r="M13" s="53"/>
      <c r="N13" s="53"/>
      <c r="O13" s="53">
        <f t="shared" si="0"/>
        <v>0</v>
      </c>
    </row>
    <row r="14" spans="2:15" outlineLevel="1" x14ac:dyDescent="0.35">
      <c r="B14" s="99" t="s">
        <v>133</v>
      </c>
      <c r="C14" s="53"/>
      <c r="D14" s="53"/>
      <c r="E14" s="53"/>
      <c r="F14" s="53"/>
      <c r="G14" s="53"/>
      <c r="H14" s="53"/>
      <c r="I14" s="53"/>
      <c r="J14" s="53"/>
      <c r="K14" s="53"/>
      <c r="L14" s="53"/>
      <c r="M14" s="53"/>
      <c r="N14" s="53"/>
      <c r="O14" s="53">
        <f t="shared" si="0"/>
        <v>0</v>
      </c>
    </row>
    <row r="15" spans="2:15" ht="15" outlineLevel="1" thickBot="1" x14ac:dyDescent="0.4">
      <c r="B15" s="102" t="s">
        <v>134</v>
      </c>
      <c r="C15" s="103"/>
      <c r="D15" s="103"/>
      <c r="E15" s="103"/>
      <c r="F15" s="103"/>
      <c r="G15" s="103"/>
      <c r="H15" s="103"/>
      <c r="I15" s="103"/>
      <c r="J15" s="103"/>
      <c r="K15" s="103"/>
      <c r="L15" s="103"/>
      <c r="M15" s="103"/>
      <c r="N15" s="103"/>
      <c r="O15" s="103">
        <f t="shared" si="0"/>
        <v>0</v>
      </c>
    </row>
    <row r="16" spans="2:15" ht="15" thickTop="1" x14ac:dyDescent="0.35">
      <c r="B16" s="101" t="s">
        <v>83</v>
      </c>
      <c r="C16" s="101"/>
      <c r="D16" s="101"/>
      <c r="E16" s="101"/>
      <c r="F16" s="101"/>
      <c r="G16" s="101"/>
      <c r="H16" s="101"/>
      <c r="I16" s="101"/>
      <c r="J16" s="101"/>
      <c r="K16" s="101"/>
      <c r="L16" s="101"/>
      <c r="M16" s="101"/>
      <c r="N16" s="101"/>
      <c r="O16" s="101">
        <f t="shared" si="0"/>
        <v>0</v>
      </c>
    </row>
    <row r="17" spans="2:15" x14ac:dyDescent="0.35">
      <c r="B17" s="96" t="s">
        <v>136</v>
      </c>
      <c r="C17" s="53"/>
      <c r="D17" s="53"/>
      <c r="E17" s="53"/>
      <c r="F17" s="53"/>
      <c r="G17" s="53"/>
      <c r="H17" s="53"/>
      <c r="I17" s="53"/>
      <c r="J17" s="53"/>
      <c r="K17" s="53"/>
      <c r="L17" s="53"/>
      <c r="M17" s="53"/>
      <c r="N17" s="53"/>
      <c r="O17" s="53">
        <f t="shared" si="0"/>
        <v>0</v>
      </c>
    </row>
    <row r="18" spans="2:15" outlineLevel="1" x14ac:dyDescent="0.35">
      <c r="B18" s="99" t="s">
        <v>137</v>
      </c>
      <c r="C18" s="53"/>
      <c r="D18" s="53"/>
      <c r="E18" s="53"/>
      <c r="F18" s="53"/>
      <c r="G18" s="53"/>
      <c r="H18" s="53"/>
      <c r="I18" s="53"/>
      <c r="J18" s="53"/>
      <c r="K18" s="53"/>
      <c r="L18" s="53"/>
      <c r="M18" s="53"/>
      <c r="N18" s="53"/>
      <c r="O18" s="53">
        <f t="shared" si="0"/>
        <v>0</v>
      </c>
    </row>
    <row r="19" spans="2:15" outlineLevel="1" x14ac:dyDescent="0.35">
      <c r="B19" s="99" t="s">
        <v>138</v>
      </c>
      <c r="C19" s="53"/>
      <c r="D19" s="53"/>
      <c r="E19" s="53"/>
      <c r="F19" s="53"/>
      <c r="G19" s="53"/>
      <c r="H19" s="53"/>
      <c r="I19" s="53"/>
      <c r="J19" s="53"/>
      <c r="K19" s="53"/>
      <c r="L19" s="53"/>
      <c r="M19" s="53"/>
      <c r="N19" s="53"/>
      <c r="O19" s="53">
        <f t="shared" si="0"/>
        <v>0</v>
      </c>
    </row>
    <row r="20" spans="2:15" ht="15" outlineLevel="1" thickBot="1" x14ac:dyDescent="0.4">
      <c r="B20" s="102" t="s">
        <v>139</v>
      </c>
      <c r="C20" s="103"/>
      <c r="D20" s="103"/>
      <c r="E20" s="103"/>
      <c r="F20" s="103"/>
      <c r="G20" s="103"/>
      <c r="H20" s="103"/>
      <c r="I20" s="103"/>
      <c r="J20" s="103"/>
      <c r="K20" s="103"/>
      <c r="L20" s="103"/>
      <c r="M20" s="103"/>
      <c r="N20" s="103"/>
      <c r="O20" s="103">
        <f t="shared" si="0"/>
        <v>0</v>
      </c>
    </row>
    <row r="21" spans="2:15" ht="15" thickTop="1" x14ac:dyDescent="0.35">
      <c r="B21" s="101" t="s">
        <v>83</v>
      </c>
      <c r="C21" s="101"/>
      <c r="D21" s="101"/>
      <c r="E21" s="101"/>
      <c r="F21" s="101"/>
      <c r="G21" s="101"/>
      <c r="H21" s="101"/>
      <c r="I21" s="101"/>
      <c r="J21" s="101"/>
      <c r="K21" s="101"/>
      <c r="L21" s="101"/>
      <c r="M21" s="101"/>
      <c r="N21" s="101"/>
      <c r="O21" s="101">
        <f t="shared" si="0"/>
        <v>0</v>
      </c>
    </row>
    <row r="22" spans="2:15" x14ac:dyDescent="0.35">
      <c r="B22" s="96" t="s">
        <v>104</v>
      </c>
      <c r="C22" s="53"/>
      <c r="D22" s="53"/>
      <c r="E22" s="53"/>
      <c r="F22" s="53"/>
      <c r="G22" s="53"/>
      <c r="H22" s="53"/>
      <c r="I22" s="53"/>
      <c r="J22" s="53"/>
      <c r="K22" s="53"/>
      <c r="L22" s="53"/>
      <c r="M22" s="53"/>
      <c r="N22" s="53"/>
      <c r="O22" s="53">
        <f t="shared" si="0"/>
        <v>0</v>
      </c>
    </row>
    <row r="23" spans="2:15" outlineLevel="1" x14ac:dyDescent="0.35">
      <c r="B23" s="99" t="s">
        <v>105</v>
      </c>
      <c r="C23" s="53"/>
      <c r="D23" s="53"/>
      <c r="E23" s="53"/>
      <c r="F23" s="53"/>
      <c r="G23" s="53"/>
      <c r="H23" s="53"/>
      <c r="I23" s="53"/>
      <c r="J23" s="53"/>
      <c r="K23" s="53"/>
      <c r="L23" s="53"/>
      <c r="M23" s="53"/>
      <c r="N23" s="53"/>
      <c r="O23" s="53">
        <f t="shared" si="0"/>
        <v>0</v>
      </c>
    </row>
    <row r="24" spans="2:15" outlineLevel="1" x14ac:dyDescent="0.35">
      <c r="B24" s="99" t="s">
        <v>106</v>
      </c>
      <c r="C24" s="53"/>
      <c r="D24" s="53"/>
      <c r="E24" s="53"/>
      <c r="F24" s="53"/>
      <c r="G24" s="53"/>
      <c r="H24" s="53"/>
      <c r="I24" s="53"/>
      <c r="J24" s="53"/>
      <c r="K24" s="53"/>
      <c r="L24" s="53"/>
      <c r="M24" s="53"/>
      <c r="N24" s="53"/>
      <c r="O24" s="53">
        <f t="shared" si="0"/>
        <v>0</v>
      </c>
    </row>
    <row r="25" spans="2:15" outlineLevel="1" x14ac:dyDescent="0.35">
      <c r="B25" s="99" t="s">
        <v>107</v>
      </c>
      <c r="C25" s="53"/>
      <c r="D25" s="53"/>
      <c r="E25" s="53"/>
      <c r="F25" s="53"/>
      <c r="G25" s="53"/>
      <c r="H25" s="53"/>
      <c r="I25" s="53"/>
      <c r="J25" s="53"/>
      <c r="K25" s="53"/>
      <c r="L25" s="53"/>
      <c r="M25" s="53"/>
      <c r="N25" s="53"/>
      <c r="O25" s="53">
        <f t="shared" si="0"/>
        <v>0</v>
      </c>
    </row>
    <row r="26" spans="2:15" outlineLevel="1" x14ac:dyDescent="0.35">
      <c r="B26" s="99" t="s">
        <v>108</v>
      </c>
      <c r="C26" s="53"/>
      <c r="D26" s="53"/>
      <c r="E26" s="53"/>
      <c r="F26" s="53"/>
      <c r="G26" s="53"/>
      <c r="H26" s="53"/>
      <c r="I26" s="53"/>
      <c r="J26" s="53"/>
      <c r="K26" s="53"/>
      <c r="L26" s="53"/>
      <c r="M26" s="53"/>
      <c r="N26" s="53"/>
      <c r="O26" s="53">
        <f t="shared" si="0"/>
        <v>0</v>
      </c>
    </row>
    <row r="27" spans="2:15" outlineLevel="1" x14ac:dyDescent="0.35">
      <c r="B27" s="99" t="s">
        <v>109</v>
      </c>
      <c r="C27" s="53"/>
      <c r="D27" s="53"/>
      <c r="E27" s="53"/>
      <c r="F27" s="53"/>
      <c r="G27" s="53"/>
      <c r="H27" s="53"/>
      <c r="I27" s="53"/>
      <c r="J27" s="53"/>
      <c r="K27" s="53"/>
      <c r="L27" s="53"/>
      <c r="M27" s="53"/>
      <c r="N27" s="53"/>
      <c r="O27" s="53">
        <f t="shared" si="0"/>
        <v>0</v>
      </c>
    </row>
    <row r="28" spans="2:15" ht="15" outlineLevel="1" thickBot="1" x14ac:dyDescent="0.4">
      <c r="B28" s="102" t="s">
        <v>110</v>
      </c>
      <c r="C28" s="103"/>
      <c r="D28" s="103"/>
      <c r="E28" s="103"/>
      <c r="F28" s="103"/>
      <c r="G28" s="103"/>
      <c r="H28" s="103"/>
      <c r="I28" s="103"/>
      <c r="J28" s="103"/>
      <c r="K28" s="103"/>
      <c r="L28" s="103"/>
      <c r="M28" s="103"/>
      <c r="N28" s="103"/>
      <c r="O28" s="103">
        <f t="shared" si="0"/>
        <v>0</v>
      </c>
    </row>
    <row r="29" spans="2:15" ht="15" thickTop="1" x14ac:dyDescent="0.35">
      <c r="B29" s="101" t="s">
        <v>83</v>
      </c>
      <c r="C29" s="101"/>
      <c r="D29" s="101"/>
      <c r="E29" s="101"/>
      <c r="F29" s="101"/>
      <c r="G29" s="101"/>
      <c r="H29" s="101"/>
      <c r="I29" s="101"/>
      <c r="J29" s="101"/>
      <c r="K29" s="101"/>
      <c r="L29" s="101"/>
      <c r="M29" s="101"/>
      <c r="N29" s="101"/>
      <c r="O29" s="101">
        <f t="shared" si="0"/>
        <v>0</v>
      </c>
    </row>
    <row r="30" spans="2:15" x14ac:dyDescent="0.35">
      <c r="B30" s="96" t="s">
        <v>111</v>
      </c>
      <c r="C30" s="53"/>
      <c r="D30" s="53"/>
      <c r="E30" s="53"/>
      <c r="F30" s="53"/>
      <c r="G30" s="53"/>
      <c r="H30" s="53"/>
      <c r="I30" s="53"/>
      <c r="J30" s="53"/>
      <c r="K30" s="53"/>
      <c r="L30" s="53"/>
      <c r="M30" s="53"/>
      <c r="N30" s="53"/>
      <c r="O30" s="53">
        <f t="shared" si="0"/>
        <v>0</v>
      </c>
    </row>
    <row r="31" spans="2:15" outlineLevel="1" x14ac:dyDescent="0.35">
      <c r="B31" s="99" t="s">
        <v>112</v>
      </c>
      <c r="C31" s="53"/>
      <c r="D31" s="53"/>
      <c r="E31" s="53"/>
      <c r="F31" s="53"/>
      <c r="G31" s="53"/>
      <c r="H31" s="53"/>
      <c r="I31" s="53"/>
      <c r="J31" s="53"/>
      <c r="K31" s="53"/>
      <c r="L31" s="53"/>
      <c r="M31" s="53"/>
      <c r="N31" s="53"/>
      <c r="O31" s="53">
        <f t="shared" si="0"/>
        <v>0</v>
      </c>
    </row>
    <row r="32" spans="2:15" outlineLevel="1" x14ac:dyDescent="0.35">
      <c r="B32" s="99" t="s">
        <v>113</v>
      </c>
      <c r="C32" s="53"/>
      <c r="D32" s="53"/>
      <c r="E32" s="53"/>
      <c r="F32" s="53"/>
      <c r="G32" s="53"/>
      <c r="H32" s="53"/>
      <c r="I32" s="53"/>
      <c r="J32" s="53"/>
      <c r="K32" s="53"/>
      <c r="L32" s="53"/>
      <c r="M32" s="53"/>
      <c r="N32" s="53"/>
      <c r="O32" s="53">
        <f t="shared" si="0"/>
        <v>0</v>
      </c>
    </row>
    <row r="33" spans="2:15" outlineLevel="1" x14ac:dyDescent="0.35">
      <c r="B33" s="99" t="s">
        <v>105</v>
      </c>
      <c r="C33" s="53"/>
      <c r="D33" s="53"/>
      <c r="E33" s="53"/>
      <c r="F33" s="53"/>
      <c r="G33" s="53"/>
      <c r="H33" s="53"/>
      <c r="I33" s="53"/>
      <c r="J33" s="53"/>
      <c r="K33" s="53"/>
      <c r="L33" s="53"/>
      <c r="M33" s="53"/>
      <c r="N33" s="53"/>
      <c r="O33" s="53">
        <f t="shared" si="0"/>
        <v>0</v>
      </c>
    </row>
    <row r="34" spans="2:15" outlineLevel="1" x14ac:dyDescent="0.35">
      <c r="B34" s="99" t="s">
        <v>114</v>
      </c>
      <c r="C34" s="53"/>
      <c r="D34" s="53"/>
      <c r="E34" s="53"/>
      <c r="F34" s="53"/>
      <c r="G34" s="53"/>
      <c r="H34" s="53"/>
      <c r="I34" s="53"/>
      <c r="J34" s="53"/>
      <c r="K34" s="53"/>
      <c r="L34" s="53"/>
      <c r="M34" s="53"/>
      <c r="N34" s="53"/>
      <c r="O34" s="53">
        <f t="shared" si="0"/>
        <v>0</v>
      </c>
    </row>
    <row r="35" spans="2:15" outlineLevel="1" x14ac:dyDescent="0.35">
      <c r="B35" s="99" t="s">
        <v>115</v>
      </c>
      <c r="C35" s="53"/>
      <c r="D35" s="53"/>
      <c r="E35" s="53"/>
      <c r="F35" s="53"/>
      <c r="G35" s="53"/>
      <c r="H35" s="53"/>
      <c r="I35" s="53"/>
      <c r="J35" s="53"/>
      <c r="K35" s="53"/>
      <c r="L35" s="53"/>
      <c r="M35" s="53"/>
      <c r="N35" s="53"/>
      <c r="O35" s="53">
        <f t="shared" si="0"/>
        <v>0</v>
      </c>
    </row>
    <row r="36" spans="2:15" outlineLevel="1" x14ac:dyDescent="0.35">
      <c r="B36" s="99" t="s">
        <v>116</v>
      </c>
      <c r="C36" s="53"/>
      <c r="D36" s="53"/>
      <c r="E36" s="53"/>
      <c r="F36" s="53"/>
      <c r="G36" s="53"/>
      <c r="H36" s="53"/>
      <c r="I36" s="53"/>
      <c r="J36" s="53"/>
      <c r="K36" s="53"/>
      <c r="L36" s="53"/>
      <c r="M36" s="53"/>
      <c r="N36" s="53"/>
      <c r="O36" s="53">
        <f t="shared" si="0"/>
        <v>0</v>
      </c>
    </row>
    <row r="37" spans="2:15" ht="15" outlineLevel="1" thickBot="1" x14ac:dyDescent="0.4">
      <c r="B37" s="102" t="s">
        <v>117</v>
      </c>
      <c r="C37" s="103"/>
      <c r="D37" s="103"/>
      <c r="E37" s="103"/>
      <c r="F37" s="103"/>
      <c r="G37" s="103"/>
      <c r="H37" s="103"/>
      <c r="I37" s="103"/>
      <c r="J37" s="103"/>
      <c r="K37" s="103"/>
      <c r="L37" s="103"/>
      <c r="M37" s="103"/>
      <c r="N37" s="103"/>
      <c r="O37" s="103">
        <f t="shared" si="0"/>
        <v>0</v>
      </c>
    </row>
    <row r="38" spans="2:15" ht="15" thickTop="1" x14ac:dyDescent="0.35">
      <c r="B38" s="101" t="s">
        <v>83</v>
      </c>
      <c r="C38" s="101"/>
      <c r="D38" s="101"/>
      <c r="E38" s="101"/>
      <c r="F38" s="101"/>
      <c r="G38" s="101"/>
      <c r="H38" s="101"/>
      <c r="I38" s="101"/>
      <c r="J38" s="101"/>
      <c r="K38" s="101"/>
      <c r="L38" s="101"/>
      <c r="M38" s="101"/>
      <c r="N38" s="101"/>
      <c r="O38" s="101">
        <f t="shared" si="0"/>
        <v>0</v>
      </c>
    </row>
    <row r="39" spans="2:15" x14ac:dyDescent="0.35">
      <c r="B39" s="96" t="s">
        <v>6</v>
      </c>
      <c r="C39" s="53"/>
      <c r="D39" s="53"/>
      <c r="E39" s="53"/>
      <c r="F39" s="53"/>
      <c r="G39" s="53"/>
      <c r="H39" s="53"/>
      <c r="I39" s="53"/>
      <c r="J39" s="53"/>
      <c r="K39" s="53"/>
      <c r="L39" s="53"/>
      <c r="M39" s="53"/>
      <c r="N39" s="53"/>
      <c r="O39" s="53">
        <f t="shared" si="0"/>
        <v>0</v>
      </c>
    </row>
    <row r="40" spans="2:15" outlineLevel="1" x14ac:dyDescent="0.35">
      <c r="B40" s="99" t="s">
        <v>118</v>
      </c>
      <c r="C40" s="53"/>
      <c r="D40" s="53"/>
      <c r="E40" s="53"/>
      <c r="F40" s="53"/>
      <c r="G40" s="53"/>
      <c r="H40" s="53"/>
      <c r="I40" s="53"/>
      <c r="J40" s="53"/>
      <c r="K40" s="53"/>
      <c r="L40" s="53"/>
      <c r="M40" s="53"/>
      <c r="N40" s="53"/>
      <c r="O40" s="53">
        <f t="shared" si="0"/>
        <v>0</v>
      </c>
    </row>
    <row r="41" spans="2:15" outlineLevel="1" x14ac:dyDescent="0.35">
      <c r="B41" s="99" t="s">
        <v>119</v>
      </c>
      <c r="C41" s="53"/>
      <c r="D41" s="53"/>
      <c r="E41" s="53"/>
      <c r="F41" s="53"/>
      <c r="G41" s="53"/>
      <c r="H41" s="53"/>
      <c r="I41" s="53"/>
      <c r="J41" s="53"/>
      <c r="K41" s="53"/>
      <c r="L41" s="53"/>
      <c r="M41" s="53"/>
      <c r="N41" s="53"/>
      <c r="O41" s="53">
        <f t="shared" si="0"/>
        <v>0</v>
      </c>
    </row>
    <row r="42" spans="2:15" outlineLevel="1" x14ac:dyDescent="0.35">
      <c r="B42" s="99" t="s">
        <v>120</v>
      </c>
      <c r="C42" s="53"/>
      <c r="D42" s="53"/>
      <c r="E42" s="53"/>
      <c r="F42" s="53"/>
      <c r="G42" s="53"/>
      <c r="H42" s="53"/>
      <c r="I42" s="53"/>
      <c r="J42" s="53"/>
      <c r="K42" s="53"/>
      <c r="L42" s="53"/>
      <c r="M42" s="53"/>
      <c r="N42" s="53"/>
      <c r="O42" s="53">
        <f t="shared" si="0"/>
        <v>0</v>
      </c>
    </row>
    <row r="43" spans="2:15" outlineLevel="1" x14ac:dyDescent="0.35">
      <c r="B43" s="99" t="s">
        <v>121</v>
      </c>
      <c r="C43" s="53"/>
      <c r="D43" s="53"/>
      <c r="E43" s="53"/>
      <c r="F43" s="53"/>
      <c r="G43" s="53"/>
      <c r="H43" s="53"/>
      <c r="I43" s="53"/>
      <c r="J43" s="53"/>
      <c r="K43" s="53"/>
      <c r="L43" s="53"/>
      <c r="M43" s="53"/>
      <c r="N43" s="53"/>
      <c r="O43" s="53">
        <f t="shared" si="0"/>
        <v>0</v>
      </c>
    </row>
    <row r="44" spans="2:15" outlineLevel="1" x14ac:dyDescent="0.35">
      <c r="B44" s="99" t="s">
        <v>122</v>
      </c>
      <c r="C44" s="53"/>
      <c r="D44" s="53"/>
      <c r="E44" s="53"/>
      <c r="F44" s="53"/>
      <c r="G44" s="53"/>
      <c r="H44" s="53"/>
      <c r="I44" s="53"/>
      <c r="J44" s="53"/>
      <c r="K44" s="53"/>
      <c r="L44" s="53"/>
      <c r="M44" s="53"/>
      <c r="N44" s="53"/>
      <c r="O44" s="53">
        <f t="shared" si="0"/>
        <v>0</v>
      </c>
    </row>
    <row r="45" spans="2:15" outlineLevel="1" x14ac:dyDescent="0.35">
      <c r="B45" s="99" t="s">
        <v>123</v>
      </c>
      <c r="C45" s="53"/>
      <c r="D45" s="53"/>
      <c r="E45" s="53"/>
      <c r="F45" s="53"/>
      <c r="G45" s="53"/>
      <c r="H45" s="53"/>
      <c r="I45" s="53"/>
      <c r="J45" s="53"/>
      <c r="K45" s="53"/>
      <c r="L45" s="53"/>
      <c r="M45" s="53"/>
      <c r="N45" s="53"/>
      <c r="O45" s="53">
        <f t="shared" si="0"/>
        <v>0</v>
      </c>
    </row>
    <row r="46" spans="2:15" ht="15" outlineLevel="1" thickBot="1" x14ac:dyDescent="0.4">
      <c r="B46" s="102" t="s">
        <v>124</v>
      </c>
      <c r="C46" s="103"/>
      <c r="D46" s="103"/>
      <c r="E46" s="103"/>
      <c r="F46" s="103"/>
      <c r="G46" s="103"/>
      <c r="H46" s="103"/>
      <c r="I46" s="103"/>
      <c r="J46" s="103"/>
      <c r="K46" s="103"/>
      <c r="L46" s="103"/>
      <c r="M46" s="103"/>
      <c r="N46" s="103"/>
      <c r="O46" s="103">
        <f t="shared" si="0"/>
        <v>0</v>
      </c>
    </row>
    <row r="47" spans="2:15" ht="15" thickTop="1" x14ac:dyDescent="0.35">
      <c r="B47" s="101" t="s">
        <v>83</v>
      </c>
      <c r="C47" s="101"/>
      <c r="D47" s="101"/>
      <c r="E47" s="101"/>
      <c r="F47" s="101"/>
      <c r="G47" s="101"/>
      <c r="H47" s="101"/>
      <c r="I47" s="101"/>
      <c r="J47" s="101"/>
      <c r="K47" s="101"/>
      <c r="L47" s="101"/>
      <c r="M47" s="101"/>
      <c r="N47" s="101"/>
      <c r="O47" s="101">
        <f t="shared" si="0"/>
        <v>0</v>
      </c>
    </row>
    <row r="48" spans="2:15" x14ac:dyDescent="0.35">
      <c r="B48" s="96" t="s">
        <v>30</v>
      </c>
      <c r="C48" s="53"/>
      <c r="D48" s="53"/>
      <c r="E48" s="53"/>
      <c r="F48" s="53"/>
      <c r="G48" s="53"/>
      <c r="H48" s="53"/>
      <c r="I48" s="53"/>
      <c r="J48" s="53"/>
      <c r="K48" s="53"/>
      <c r="L48" s="53"/>
      <c r="M48" s="53"/>
      <c r="N48" s="53"/>
      <c r="O48" s="53">
        <f t="shared" si="0"/>
        <v>0</v>
      </c>
    </row>
    <row r="49" spans="2:15" outlineLevel="1" x14ac:dyDescent="0.35">
      <c r="B49" s="99" t="s">
        <v>125</v>
      </c>
      <c r="C49" s="53"/>
      <c r="D49" s="53"/>
      <c r="E49" s="53"/>
      <c r="F49" s="53"/>
      <c r="G49" s="53"/>
      <c r="H49" s="53"/>
      <c r="I49" s="53"/>
      <c r="J49" s="53"/>
      <c r="K49" s="53"/>
      <c r="L49" s="53"/>
      <c r="M49" s="53"/>
      <c r="N49" s="53"/>
      <c r="O49" s="53">
        <f t="shared" si="0"/>
        <v>0</v>
      </c>
    </row>
    <row r="50" spans="2:15" ht="15" outlineLevel="1" thickBot="1" x14ac:dyDescent="0.4">
      <c r="B50" s="102" t="s">
        <v>126</v>
      </c>
      <c r="C50" s="103"/>
      <c r="D50" s="103"/>
      <c r="E50" s="103"/>
      <c r="F50" s="103"/>
      <c r="G50" s="103"/>
      <c r="H50" s="103"/>
      <c r="I50" s="103"/>
      <c r="J50" s="103"/>
      <c r="K50" s="103"/>
      <c r="L50" s="103"/>
      <c r="M50" s="103"/>
      <c r="N50" s="103"/>
      <c r="O50" s="103">
        <f t="shared" si="0"/>
        <v>0</v>
      </c>
    </row>
    <row r="51" spans="2:15" ht="15" thickTop="1" x14ac:dyDescent="0.35">
      <c r="B51" s="101" t="s">
        <v>83</v>
      </c>
      <c r="C51" s="101"/>
      <c r="D51" s="101"/>
      <c r="E51" s="101"/>
      <c r="F51" s="101"/>
      <c r="G51" s="101"/>
      <c r="H51" s="101"/>
      <c r="I51" s="101"/>
      <c r="J51" s="101"/>
      <c r="K51" s="101"/>
      <c r="L51" s="101"/>
      <c r="M51" s="101"/>
      <c r="N51" s="101"/>
      <c r="O51" s="101">
        <f t="shared" si="0"/>
        <v>0</v>
      </c>
    </row>
    <row r="52" spans="2:15" x14ac:dyDescent="0.35">
      <c r="B52" s="96" t="s">
        <v>126</v>
      </c>
      <c r="C52" s="53"/>
      <c r="D52" s="53"/>
      <c r="E52" s="53"/>
      <c r="F52" s="53"/>
      <c r="G52" s="53"/>
      <c r="H52" s="53"/>
      <c r="I52" s="53"/>
      <c r="J52" s="53"/>
      <c r="K52" s="53"/>
      <c r="L52" s="53"/>
      <c r="M52" s="53"/>
      <c r="N52" s="53"/>
      <c r="O52" s="53">
        <f t="shared" si="0"/>
        <v>0</v>
      </c>
    </row>
    <row r="53" spans="2:15" outlineLevel="1" x14ac:dyDescent="0.35">
      <c r="B53" s="99" t="s">
        <v>140</v>
      </c>
      <c r="C53" s="53"/>
      <c r="D53" s="53"/>
      <c r="E53" s="53"/>
      <c r="F53" s="53"/>
      <c r="G53" s="53"/>
      <c r="H53" s="53"/>
      <c r="I53" s="53"/>
      <c r="J53" s="53"/>
      <c r="K53" s="53"/>
      <c r="L53" s="53"/>
      <c r="M53" s="53"/>
      <c r="N53" s="53"/>
      <c r="O53" s="53">
        <f t="shared" si="0"/>
        <v>0</v>
      </c>
    </row>
    <row r="54" spans="2:15" outlineLevel="1" x14ac:dyDescent="0.35">
      <c r="B54" s="99" t="s">
        <v>141</v>
      </c>
      <c r="C54" s="53"/>
      <c r="D54" s="53"/>
      <c r="E54" s="53"/>
      <c r="F54" s="53"/>
      <c r="G54" s="53"/>
      <c r="H54" s="53"/>
      <c r="I54" s="53"/>
      <c r="J54" s="53"/>
      <c r="K54" s="53"/>
      <c r="L54" s="53"/>
      <c r="M54" s="53"/>
      <c r="N54" s="53"/>
      <c r="O54" s="53">
        <f t="shared" si="0"/>
        <v>0</v>
      </c>
    </row>
    <row r="55" spans="2:15" ht="15" outlineLevel="1" thickBot="1" x14ac:dyDescent="0.4">
      <c r="B55" s="102" t="s">
        <v>142</v>
      </c>
      <c r="C55" s="103"/>
      <c r="D55" s="103"/>
      <c r="E55" s="103"/>
      <c r="F55" s="103"/>
      <c r="G55" s="103"/>
      <c r="H55" s="103"/>
      <c r="I55" s="103"/>
      <c r="J55" s="103"/>
      <c r="K55" s="103"/>
      <c r="L55" s="103"/>
      <c r="M55" s="103"/>
      <c r="N55" s="103"/>
      <c r="O55" s="103">
        <f t="shared" si="0"/>
        <v>0</v>
      </c>
    </row>
    <row r="56" spans="2:15" ht="15" thickTop="1" x14ac:dyDescent="0.35">
      <c r="B56" s="101" t="s">
        <v>83</v>
      </c>
      <c r="C56" s="101"/>
      <c r="D56" s="101"/>
      <c r="E56" s="101"/>
      <c r="F56" s="101"/>
      <c r="G56" s="101"/>
      <c r="H56" s="101"/>
      <c r="I56" s="101"/>
      <c r="J56" s="101"/>
      <c r="K56" s="101"/>
      <c r="L56" s="101"/>
      <c r="M56" s="101"/>
      <c r="N56" s="101"/>
      <c r="O56" s="101">
        <f t="shared" si="0"/>
        <v>0</v>
      </c>
    </row>
    <row r="57" spans="2:15" x14ac:dyDescent="0.35">
      <c r="B57" s="96" t="s">
        <v>143</v>
      </c>
      <c r="C57" s="53"/>
      <c r="D57" s="53"/>
      <c r="E57" s="53"/>
      <c r="F57" s="53"/>
      <c r="G57" s="53"/>
      <c r="H57" s="53"/>
      <c r="I57" s="53"/>
      <c r="J57" s="53"/>
      <c r="K57" s="53"/>
      <c r="L57" s="53"/>
      <c r="M57" s="53"/>
      <c r="N57" s="53"/>
      <c r="O57" s="53">
        <f t="shared" si="0"/>
        <v>0</v>
      </c>
    </row>
    <row r="58" spans="2:15" outlineLevel="1" x14ac:dyDescent="0.35">
      <c r="B58" s="99" t="s">
        <v>144</v>
      </c>
      <c r="C58" s="53"/>
      <c r="D58" s="53"/>
      <c r="E58" s="53"/>
      <c r="F58" s="53"/>
      <c r="G58" s="53"/>
      <c r="H58" s="53"/>
      <c r="I58" s="53"/>
      <c r="J58" s="53"/>
      <c r="K58" s="53"/>
      <c r="L58" s="53"/>
      <c r="M58" s="53"/>
      <c r="N58" s="53"/>
      <c r="O58" s="53">
        <f t="shared" si="0"/>
        <v>0</v>
      </c>
    </row>
    <row r="59" spans="2:15" outlineLevel="1" x14ac:dyDescent="0.35">
      <c r="B59" s="99" t="s">
        <v>145</v>
      </c>
      <c r="C59" s="53"/>
      <c r="D59" s="53"/>
      <c r="E59" s="53"/>
      <c r="F59" s="53"/>
      <c r="G59" s="53"/>
      <c r="H59" s="53"/>
      <c r="I59" s="53"/>
      <c r="J59" s="53"/>
      <c r="K59" s="53"/>
      <c r="L59" s="53"/>
      <c r="M59" s="53"/>
      <c r="N59" s="53"/>
      <c r="O59" s="53">
        <f t="shared" si="0"/>
        <v>0</v>
      </c>
    </row>
    <row r="60" spans="2:15" ht="15" outlineLevel="1" thickBot="1" x14ac:dyDescent="0.4">
      <c r="B60" s="102" t="s">
        <v>146</v>
      </c>
      <c r="C60" s="103"/>
      <c r="D60" s="103"/>
      <c r="E60" s="103"/>
      <c r="F60" s="103"/>
      <c r="G60" s="103"/>
      <c r="H60" s="103"/>
      <c r="I60" s="103"/>
      <c r="J60" s="103"/>
      <c r="K60" s="103"/>
      <c r="L60" s="103"/>
      <c r="M60" s="103"/>
      <c r="N60" s="103"/>
      <c r="O60" s="103">
        <f t="shared" si="0"/>
        <v>0</v>
      </c>
    </row>
    <row r="61" spans="2:15" ht="15" thickTop="1" x14ac:dyDescent="0.35">
      <c r="B61" s="101" t="s">
        <v>83</v>
      </c>
      <c r="C61" s="101"/>
      <c r="D61" s="101"/>
      <c r="E61" s="101"/>
      <c r="F61" s="101"/>
      <c r="G61" s="101"/>
      <c r="H61" s="101"/>
      <c r="I61" s="101"/>
      <c r="J61" s="101"/>
      <c r="K61" s="101"/>
      <c r="L61" s="101"/>
      <c r="M61" s="101"/>
      <c r="N61" s="101"/>
      <c r="O61" s="101">
        <f t="shared" si="0"/>
        <v>0</v>
      </c>
    </row>
    <row r="62" spans="2:15" x14ac:dyDescent="0.35">
      <c r="B62" s="96" t="s">
        <v>73</v>
      </c>
      <c r="C62" s="53"/>
      <c r="D62" s="53"/>
      <c r="E62" s="53"/>
      <c r="F62" s="53"/>
      <c r="G62" s="53"/>
      <c r="H62" s="53"/>
      <c r="I62" s="53"/>
      <c r="J62" s="53"/>
      <c r="K62" s="53"/>
      <c r="L62" s="53"/>
      <c r="M62" s="53"/>
      <c r="N62" s="53"/>
      <c r="O62" s="53">
        <f t="shared" si="0"/>
        <v>0</v>
      </c>
    </row>
    <row r="63" spans="2:15" outlineLevel="1" x14ac:dyDescent="0.35">
      <c r="B63" s="99" t="s">
        <v>97</v>
      </c>
      <c r="C63" s="53"/>
      <c r="D63" s="53"/>
      <c r="E63" s="53"/>
      <c r="F63" s="53"/>
      <c r="G63" s="53"/>
      <c r="H63" s="53"/>
      <c r="I63" s="53"/>
      <c r="J63" s="53"/>
      <c r="K63" s="53"/>
      <c r="L63" s="53"/>
      <c r="M63" s="53"/>
      <c r="N63" s="53"/>
      <c r="O63" s="53">
        <f t="shared" si="0"/>
        <v>0</v>
      </c>
    </row>
    <row r="64" spans="2:15" outlineLevel="1" x14ac:dyDescent="0.35">
      <c r="B64" s="99" t="s">
        <v>99</v>
      </c>
      <c r="C64" s="53"/>
      <c r="D64" s="53"/>
      <c r="E64" s="53"/>
      <c r="F64" s="53"/>
      <c r="G64" s="53"/>
      <c r="H64" s="53"/>
      <c r="I64" s="53"/>
      <c r="J64" s="53"/>
      <c r="K64" s="53"/>
      <c r="L64" s="53"/>
      <c r="M64" s="53"/>
      <c r="N64" s="53"/>
      <c r="O64" s="53">
        <f t="shared" ref="O64:O85" si="1">SUM(C64:N64)</f>
        <v>0</v>
      </c>
    </row>
    <row r="65" spans="2:15" outlineLevel="1" x14ac:dyDescent="0.35">
      <c r="B65" s="99" t="s">
        <v>96</v>
      </c>
      <c r="C65" s="53"/>
      <c r="D65" s="53"/>
      <c r="E65" s="53"/>
      <c r="F65" s="53"/>
      <c r="G65" s="53"/>
      <c r="H65" s="53"/>
      <c r="I65" s="53"/>
      <c r="J65" s="53"/>
      <c r="K65" s="53"/>
      <c r="L65" s="53"/>
      <c r="M65" s="53"/>
      <c r="N65" s="53"/>
      <c r="O65" s="53">
        <f t="shared" si="1"/>
        <v>0</v>
      </c>
    </row>
    <row r="66" spans="2:15" outlineLevel="1" x14ac:dyDescent="0.35">
      <c r="B66" s="99" t="s">
        <v>103</v>
      </c>
      <c r="C66" s="53"/>
      <c r="D66" s="53"/>
      <c r="E66" s="53"/>
      <c r="F66" s="53"/>
      <c r="G66" s="53"/>
      <c r="H66" s="53"/>
      <c r="I66" s="53"/>
      <c r="J66" s="53"/>
      <c r="K66" s="53"/>
      <c r="L66" s="53"/>
      <c r="M66" s="53"/>
      <c r="N66" s="53"/>
      <c r="O66" s="53">
        <f t="shared" si="1"/>
        <v>0</v>
      </c>
    </row>
    <row r="67" spans="2:15" outlineLevel="1" x14ac:dyDescent="0.35">
      <c r="B67" s="99" t="s">
        <v>101</v>
      </c>
      <c r="C67" s="53"/>
      <c r="D67" s="53"/>
      <c r="E67" s="53"/>
      <c r="F67" s="53"/>
      <c r="G67" s="53"/>
      <c r="H67" s="53"/>
      <c r="I67" s="53"/>
      <c r="J67" s="53"/>
      <c r="K67" s="53"/>
      <c r="L67" s="53"/>
      <c r="M67" s="53"/>
      <c r="N67" s="53"/>
      <c r="O67" s="53">
        <f t="shared" si="1"/>
        <v>0</v>
      </c>
    </row>
    <row r="68" spans="2:15" outlineLevel="1" x14ac:dyDescent="0.35">
      <c r="B68" s="99" t="s">
        <v>93</v>
      </c>
      <c r="C68" s="53"/>
      <c r="D68" s="53"/>
      <c r="E68" s="53"/>
      <c r="F68" s="53"/>
      <c r="G68" s="53"/>
      <c r="H68" s="53"/>
      <c r="I68" s="53"/>
      <c r="J68" s="53"/>
      <c r="K68" s="53"/>
      <c r="L68" s="53"/>
      <c r="M68" s="53"/>
      <c r="N68" s="53"/>
      <c r="O68" s="53">
        <f t="shared" si="1"/>
        <v>0</v>
      </c>
    </row>
    <row r="69" spans="2:15" outlineLevel="1" x14ac:dyDescent="0.35">
      <c r="B69" s="99" t="s">
        <v>92</v>
      </c>
      <c r="C69" s="53"/>
      <c r="D69" s="53"/>
      <c r="E69" s="53"/>
      <c r="F69" s="53"/>
      <c r="G69" s="53"/>
      <c r="H69" s="53"/>
      <c r="I69" s="53"/>
      <c r="J69" s="53"/>
      <c r="K69" s="53"/>
      <c r="L69" s="53"/>
      <c r="M69" s="53"/>
      <c r="N69" s="53"/>
      <c r="O69" s="53">
        <f t="shared" si="1"/>
        <v>0</v>
      </c>
    </row>
    <row r="70" spans="2:15" outlineLevel="1" x14ac:dyDescent="0.35">
      <c r="B70" s="99" t="s">
        <v>102</v>
      </c>
      <c r="C70" s="53"/>
      <c r="D70" s="53"/>
      <c r="E70" s="53"/>
      <c r="F70" s="53"/>
      <c r="G70" s="53"/>
      <c r="H70" s="53"/>
      <c r="I70" s="53"/>
      <c r="J70" s="53"/>
      <c r="K70" s="53"/>
      <c r="L70" s="53"/>
      <c r="M70" s="53"/>
      <c r="N70" s="53"/>
      <c r="O70" s="53">
        <f t="shared" si="1"/>
        <v>0</v>
      </c>
    </row>
    <row r="71" spans="2:15" outlineLevel="1" x14ac:dyDescent="0.35">
      <c r="B71" s="99" t="s">
        <v>98</v>
      </c>
      <c r="C71" s="53"/>
      <c r="D71" s="53"/>
      <c r="E71" s="53"/>
      <c r="F71" s="53"/>
      <c r="G71" s="53"/>
      <c r="H71" s="53"/>
      <c r="I71" s="53"/>
      <c r="J71" s="53"/>
      <c r="K71" s="53"/>
      <c r="L71" s="53"/>
      <c r="M71" s="53"/>
      <c r="N71" s="53"/>
      <c r="O71" s="53">
        <f t="shared" si="1"/>
        <v>0</v>
      </c>
    </row>
    <row r="72" spans="2:15" outlineLevel="1" x14ac:dyDescent="0.35">
      <c r="B72" s="99" t="s">
        <v>94</v>
      </c>
      <c r="C72" s="53"/>
      <c r="D72" s="53"/>
      <c r="E72" s="53"/>
      <c r="F72" s="53"/>
      <c r="G72" s="53"/>
      <c r="H72" s="53"/>
      <c r="I72" s="53"/>
      <c r="J72" s="53"/>
      <c r="K72" s="53"/>
      <c r="L72" s="53"/>
      <c r="M72" s="53"/>
      <c r="N72" s="53"/>
      <c r="O72" s="53">
        <f t="shared" si="1"/>
        <v>0</v>
      </c>
    </row>
    <row r="73" spans="2:15" outlineLevel="1" x14ac:dyDescent="0.35">
      <c r="B73" s="99" t="s">
        <v>100</v>
      </c>
      <c r="C73" s="53"/>
      <c r="D73" s="53"/>
      <c r="E73" s="53"/>
      <c r="F73" s="53"/>
      <c r="G73" s="53"/>
      <c r="H73" s="53"/>
      <c r="I73" s="53"/>
      <c r="J73" s="53"/>
      <c r="K73" s="53"/>
      <c r="L73" s="53"/>
      <c r="M73" s="53"/>
      <c r="N73" s="53"/>
      <c r="O73" s="53">
        <f t="shared" si="1"/>
        <v>0</v>
      </c>
    </row>
    <row r="74" spans="2:15" ht="15" outlineLevel="1" thickBot="1" x14ac:dyDescent="0.4">
      <c r="B74" s="102" t="s">
        <v>95</v>
      </c>
      <c r="C74" s="103"/>
      <c r="D74" s="103"/>
      <c r="E74" s="103"/>
      <c r="F74" s="103"/>
      <c r="G74" s="103"/>
      <c r="H74" s="103"/>
      <c r="I74" s="103"/>
      <c r="J74" s="103"/>
      <c r="K74" s="103"/>
      <c r="L74" s="103"/>
      <c r="M74" s="103"/>
      <c r="N74" s="103"/>
      <c r="O74" s="103">
        <f t="shared" si="1"/>
        <v>0</v>
      </c>
    </row>
    <row r="75" spans="2:15" ht="15" thickTop="1" x14ac:dyDescent="0.35">
      <c r="B75" s="101" t="s">
        <v>83</v>
      </c>
      <c r="C75" s="101"/>
      <c r="D75" s="101"/>
      <c r="E75" s="101"/>
      <c r="F75" s="101"/>
      <c r="G75" s="101"/>
      <c r="H75" s="101"/>
      <c r="I75" s="101"/>
      <c r="J75" s="101"/>
      <c r="K75" s="101"/>
      <c r="L75" s="101"/>
      <c r="M75" s="101"/>
      <c r="N75" s="101"/>
      <c r="O75" s="101">
        <f t="shared" si="1"/>
        <v>0</v>
      </c>
    </row>
    <row r="76" spans="2:15" x14ac:dyDescent="0.35">
      <c r="B76" s="96" t="s">
        <v>147</v>
      </c>
      <c r="C76" s="53"/>
      <c r="D76" s="53"/>
      <c r="E76" s="53"/>
      <c r="F76" s="53"/>
      <c r="G76" s="53"/>
      <c r="H76" s="53"/>
      <c r="I76" s="53"/>
      <c r="J76" s="53"/>
      <c r="K76" s="53"/>
      <c r="L76" s="53"/>
      <c r="M76" s="53"/>
      <c r="N76" s="53"/>
      <c r="O76" s="53">
        <f t="shared" si="1"/>
        <v>0</v>
      </c>
    </row>
    <row r="77" spans="2:15" outlineLevel="1" x14ac:dyDescent="0.35">
      <c r="B77" s="99" t="s">
        <v>148</v>
      </c>
      <c r="C77" s="53"/>
      <c r="D77" s="53"/>
      <c r="E77" s="53"/>
      <c r="F77" s="53"/>
      <c r="G77" s="53"/>
      <c r="H77" s="53"/>
      <c r="I77" s="53"/>
      <c r="J77" s="53"/>
      <c r="K77" s="53"/>
      <c r="L77" s="53"/>
      <c r="M77" s="53"/>
      <c r="N77" s="53"/>
      <c r="O77" s="53">
        <f t="shared" si="1"/>
        <v>0</v>
      </c>
    </row>
    <row r="78" spans="2:15" outlineLevel="1" x14ac:dyDescent="0.35">
      <c r="B78" s="99" t="s">
        <v>149</v>
      </c>
      <c r="C78" s="53"/>
      <c r="D78" s="53"/>
      <c r="E78" s="53"/>
      <c r="F78" s="53"/>
      <c r="G78" s="53"/>
      <c r="H78" s="53"/>
      <c r="I78" s="53"/>
      <c r="J78" s="53"/>
      <c r="K78" s="53"/>
      <c r="L78" s="53"/>
      <c r="M78" s="53"/>
      <c r="N78" s="53"/>
      <c r="O78" s="53">
        <f t="shared" si="1"/>
        <v>0</v>
      </c>
    </row>
    <row r="79" spans="2:15" outlineLevel="1" x14ac:dyDescent="0.35">
      <c r="B79" s="99" t="s">
        <v>150</v>
      </c>
      <c r="C79" s="53"/>
      <c r="D79" s="53"/>
      <c r="E79" s="53"/>
      <c r="F79" s="53"/>
      <c r="G79" s="53"/>
      <c r="H79" s="53"/>
      <c r="I79" s="53"/>
      <c r="J79" s="53"/>
      <c r="K79" s="53"/>
      <c r="L79" s="53"/>
      <c r="M79" s="53"/>
      <c r="N79" s="53"/>
      <c r="O79" s="53">
        <f t="shared" si="1"/>
        <v>0</v>
      </c>
    </row>
    <row r="80" spans="2:15" outlineLevel="1" x14ac:dyDescent="0.35">
      <c r="B80" s="99" t="s">
        <v>151</v>
      </c>
      <c r="C80" s="53"/>
      <c r="D80" s="53"/>
      <c r="E80" s="53"/>
      <c r="F80" s="53"/>
      <c r="G80" s="53"/>
      <c r="H80" s="53"/>
      <c r="I80" s="53"/>
      <c r="J80" s="53"/>
      <c r="K80" s="53"/>
      <c r="L80" s="53"/>
      <c r="M80" s="53"/>
      <c r="N80" s="53"/>
      <c r="O80" s="53">
        <f t="shared" si="1"/>
        <v>0</v>
      </c>
    </row>
    <row r="81" spans="2:15" outlineLevel="1" x14ac:dyDescent="0.35">
      <c r="B81" s="99" t="s">
        <v>152</v>
      </c>
      <c r="C81" s="53"/>
      <c r="D81" s="53"/>
      <c r="E81" s="53"/>
      <c r="F81" s="53"/>
      <c r="G81" s="53"/>
      <c r="H81" s="53"/>
      <c r="I81" s="53"/>
      <c r="J81" s="53"/>
      <c r="K81" s="53"/>
      <c r="L81" s="53"/>
      <c r="M81" s="53"/>
      <c r="N81" s="53"/>
      <c r="O81" s="53">
        <f t="shared" si="1"/>
        <v>0</v>
      </c>
    </row>
    <row r="82" spans="2:15" outlineLevel="1" x14ac:dyDescent="0.35">
      <c r="B82" s="99" t="s">
        <v>153</v>
      </c>
      <c r="C82" s="53"/>
      <c r="D82" s="53"/>
      <c r="E82" s="53"/>
      <c r="F82" s="53"/>
      <c r="G82" s="53"/>
      <c r="H82" s="53"/>
      <c r="I82" s="53"/>
      <c r="J82" s="53"/>
      <c r="K82" s="53"/>
      <c r="L82" s="53"/>
      <c r="M82" s="53"/>
      <c r="N82" s="53"/>
      <c r="O82" s="53">
        <f t="shared" si="1"/>
        <v>0</v>
      </c>
    </row>
    <row r="83" spans="2:15" ht="15" outlineLevel="1" thickBot="1" x14ac:dyDescent="0.4">
      <c r="B83" s="102" t="s">
        <v>154</v>
      </c>
      <c r="C83" s="103"/>
      <c r="D83" s="103"/>
      <c r="E83" s="103"/>
      <c r="F83" s="103"/>
      <c r="G83" s="103"/>
      <c r="H83" s="103"/>
      <c r="I83" s="103"/>
      <c r="J83" s="103"/>
      <c r="K83" s="103"/>
      <c r="L83" s="103"/>
      <c r="M83" s="103"/>
      <c r="N83" s="103"/>
      <c r="O83" s="103">
        <f t="shared" si="1"/>
        <v>0</v>
      </c>
    </row>
    <row r="84" spans="2:15" ht="15.5" thickTop="1" thickBot="1" x14ac:dyDescent="0.4">
      <c r="B84" s="104" t="s">
        <v>83</v>
      </c>
      <c r="C84" s="105"/>
      <c r="D84" s="105"/>
      <c r="E84" s="105"/>
      <c r="F84" s="105"/>
      <c r="G84" s="105"/>
      <c r="H84" s="105"/>
      <c r="I84" s="105"/>
      <c r="J84" s="105"/>
      <c r="K84" s="105"/>
      <c r="L84" s="105"/>
      <c r="M84" s="105"/>
      <c r="N84" s="105"/>
      <c r="O84" s="105">
        <f t="shared" si="1"/>
        <v>0</v>
      </c>
    </row>
    <row r="85" spans="2:15" ht="15" thickTop="1" x14ac:dyDescent="0.35">
      <c r="B85" s="98" t="s">
        <v>155</v>
      </c>
      <c r="C85" s="98">
        <f t="shared" ref="C85:N85" si="2">C16+C21+C29+C38+C47+C51+C56+C61+C75+C84</f>
        <v>0</v>
      </c>
      <c r="D85" s="98">
        <f t="shared" si="2"/>
        <v>0</v>
      </c>
      <c r="E85" s="98">
        <f t="shared" si="2"/>
        <v>0</v>
      </c>
      <c r="F85" s="98">
        <f t="shared" si="2"/>
        <v>0</v>
      </c>
      <c r="G85" s="98">
        <f t="shared" si="2"/>
        <v>0</v>
      </c>
      <c r="H85" s="98">
        <f t="shared" si="2"/>
        <v>0</v>
      </c>
      <c r="I85" s="98">
        <f t="shared" si="2"/>
        <v>0</v>
      </c>
      <c r="J85" s="98">
        <f t="shared" si="2"/>
        <v>0</v>
      </c>
      <c r="K85" s="98">
        <f t="shared" si="2"/>
        <v>0</v>
      </c>
      <c r="L85" s="98">
        <f t="shared" si="2"/>
        <v>0</v>
      </c>
      <c r="M85" s="98">
        <f t="shared" si="2"/>
        <v>0</v>
      </c>
      <c r="N85" s="98">
        <f t="shared" si="2"/>
        <v>0</v>
      </c>
      <c r="O85" s="98">
        <f t="shared" si="1"/>
        <v>0</v>
      </c>
    </row>
  </sheetData>
  <sortState xmlns:xlrd2="http://schemas.microsoft.com/office/spreadsheetml/2017/richdata2" ref="B63:B74">
    <sortCondition ref="B63:B74"/>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9B3AE-489F-4798-965A-DBCEEE318BA0}">
  <sheetPr codeName="Taul9"/>
  <dimension ref="B2:P47"/>
  <sheetViews>
    <sheetView topLeftCell="A26" workbookViewId="0">
      <selection activeCell="R26" sqref="R26"/>
    </sheetView>
  </sheetViews>
  <sheetFormatPr defaultColWidth="8.7265625" defaultRowHeight="14.5" x14ac:dyDescent="0.35"/>
  <cols>
    <col min="1" max="1" width="2.7265625" style="5" customWidth="1"/>
    <col min="2" max="2" width="30.7265625" style="5" customWidth="1"/>
    <col min="3" max="3" width="10.7265625" style="5" customWidth="1"/>
    <col min="4" max="16" width="12.7265625" style="5" customWidth="1"/>
    <col min="17" max="16384" width="8.7265625" style="5"/>
  </cols>
  <sheetData>
    <row r="2" spans="2:16" ht="21" x14ac:dyDescent="0.5">
      <c r="B2" s="16" t="s">
        <v>63</v>
      </c>
    </row>
    <row r="4" spans="2:16" x14ac:dyDescent="0.35">
      <c r="D4" s="32" t="s">
        <v>42</v>
      </c>
      <c r="E4" s="32" t="s">
        <v>43</v>
      </c>
      <c r="F4" s="32" t="s">
        <v>44</v>
      </c>
      <c r="G4" s="32" t="s">
        <v>45</v>
      </c>
      <c r="H4" s="32" t="s">
        <v>46</v>
      </c>
      <c r="I4" s="32" t="s">
        <v>47</v>
      </c>
      <c r="J4" s="32" t="s">
        <v>48</v>
      </c>
      <c r="K4" s="32" t="s">
        <v>49</v>
      </c>
      <c r="L4" s="32" t="s">
        <v>50</v>
      </c>
      <c r="M4" s="32" t="s">
        <v>51</v>
      </c>
      <c r="N4" s="32" t="s">
        <v>52</v>
      </c>
      <c r="O4" s="32" t="s">
        <v>53</v>
      </c>
    </row>
    <row r="5" spans="2:16" x14ac:dyDescent="0.35">
      <c r="B5" s="35" t="s">
        <v>41</v>
      </c>
      <c r="C5" s="3"/>
      <c r="D5" s="12">
        <v>1</v>
      </c>
      <c r="E5" s="12">
        <v>2</v>
      </c>
      <c r="F5" s="12">
        <v>3</v>
      </c>
      <c r="G5" s="12">
        <v>4</v>
      </c>
      <c r="H5" s="12">
        <v>5</v>
      </c>
      <c r="I5" s="12">
        <v>6</v>
      </c>
      <c r="J5" s="12">
        <v>7</v>
      </c>
      <c r="K5" s="12">
        <v>8</v>
      </c>
      <c r="L5" s="12">
        <v>9</v>
      </c>
      <c r="M5" s="12">
        <v>10</v>
      </c>
      <c r="N5" s="12">
        <v>11</v>
      </c>
      <c r="O5" s="12">
        <v>12</v>
      </c>
      <c r="P5" s="12" t="s">
        <v>39</v>
      </c>
    </row>
    <row r="6" spans="2:16" ht="18.5" x14ac:dyDescent="0.45">
      <c r="B6" s="15" t="s">
        <v>82</v>
      </c>
      <c r="C6" s="6"/>
      <c r="D6" s="28"/>
      <c r="E6" s="28"/>
      <c r="F6" s="28"/>
      <c r="G6" s="28"/>
      <c r="H6" s="28"/>
      <c r="I6" s="28"/>
      <c r="J6" s="28"/>
      <c r="K6" s="28"/>
      <c r="L6" s="28"/>
      <c r="M6" s="28"/>
      <c r="N6" s="28"/>
      <c r="O6" s="28"/>
      <c r="P6" s="29"/>
    </row>
    <row r="7" spans="2:16" x14ac:dyDescent="0.35">
      <c r="B7" s="41"/>
      <c r="D7" s="42"/>
      <c r="E7" s="42"/>
      <c r="F7" s="42"/>
      <c r="G7" s="42"/>
      <c r="H7" s="42"/>
      <c r="I7" s="42"/>
      <c r="J7" s="42"/>
      <c r="K7" s="42"/>
      <c r="L7" s="42"/>
      <c r="M7" s="42"/>
      <c r="N7" s="42"/>
      <c r="O7" s="42"/>
      <c r="P7" s="42"/>
    </row>
    <row r="8" spans="2:16" ht="18.5" x14ac:dyDescent="0.45">
      <c r="B8" s="15" t="s">
        <v>36</v>
      </c>
    </row>
    <row r="9" spans="2:16" x14ac:dyDescent="0.35">
      <c r="B9" s="5" t="s">
        <v>38</v>
      </c>
      <c r="C9" s="45" t="s">
        <v>54</v>
      </c>
      <c r="D9" s="28">
        <f>Myyntiennuste!$C$7*Myyntiennuste!D7</f>
        <v>0</v>
      </c>
      <c r="E9" s="28">
        <f>Myyntiennuste!$C$7*Myyntiennuste!E7</f>
        <v>0</v>
      </c>
      <c r="F9" s="28">
        <f>Myyntiennuste!$C$7*Myyntiennuste!F7</f>
        <v>0</v>
      </c>
      <c r="G9" s="28">
        <f>Myyntiennuste!$C$7*Myyntiennuste!G7</f>
        <v>0</v>
      </c>
      <c r="H9" s="28">
        <f>Myyntiennuste!$C$7*Myyntiennuste!H7</f>
        <v>15562</v>
      </c>
      <c r="I9" s="28">
        <f>Myyntiennuste!$C$7*Myyntiennuste!I7</f>
        <v>23343</v>
      </c>
      <c r="J9" s="28">
        <f>Myyntiennuste!$C$7*Myyntiennuste!J7</f>
        <v>27233.5</v>
      </c>
      <c r="K9" s="28">
        <f>Myyntiennuste!$C$7*Myyntiennuste!K7</f>
        <v>31124</v>
      </c>
      <c r="L9" s="28">
        <f>Myyntiennuste!$C$7*Myyntiennuste!L7</f>
        <v>0</v>
      </c>
      <c r="M9" s="28">
        <f>Myyntiennuste!$C$7*Myyntiennuste!M7</f>
        <v>0</v>
      </c>
      <c r="N9" s="28">
        <f>Myyntiennuste!$C$7*Myyntiennuste!N7</f>
        <v>0</v>
      </c>
      <c r="O9" s="28">
        <f>Myyntiennuste!$C$7*Myyntiennuste!O7</f>
        <v>0</v>
      </c>
      <c r="P9" s="29">
        <f t="shared" ref="P9:P14" si="0">SUM(D9:O9)</f>
        <v>97262.5</v>
      </c>
    </row>
    <row r="10" spans="2:16" x14ac:dyDescent="0.35">
      <c r="B10" s="5" t="s">
        <v>38</v>
      </c>
      <c r="C10" s="45" t="s">
        <v>57</v>
      </c>
      <c r="D10" s="28"/>
      <c r="E10" s="28"/>
      <c r="F10" s="28"/>
      <c r="G10" s="28"/>
      <c r="H10" s="28"/>
      <c r="I10" s="28"/>
      <c r="J10" s="28"/>
      <c r="K10" s="28"/>
      <c r="L10" s="28"/>
      <c r="M10" s="28"/>
      <c r="N10" s="28"/>
      <c r="O10" s="28"/>
      <c r="P10" s="29">
        <f t="shared" si="0"/>
        <v>0</v>
      </c>
    </row>
    <row r="11" spans="2:16" x14ac:dyDescent="0.35">
      <c r="C11" s="6"/>
      <c r="D11" s="28"/>
      <c r="E11" s="28"/>
      <c r="F11" s="28"/>
      <c r="G11" s="28"/>
      <c r="H11" s="28"/>
      <c r="I11" s="28"/>
      <c r="J11" s="28"/>
      <c r="K11" s="28"/>
      <c r="L11" s="28"/>
      <c r="M11" s="28"/>
      <c r="N11" s="28"/>
      <c r="O11" s="28"/>
      <c r="P11" s="29"/>
    </row>
    <row r="12" spans="2:16" x14ac:dyDescent="0.35">
      <c r="C12" s="6"/>
      <c r="D12" s="28"/>
      <c r="E12" s="28"/>
      <c r="F12" s="28"/>
      <c r="G12" s="28"/>
      <c r="H12" s="28"/>
      <c r="I12" s="28"/>
      <c r="J12" s="28"/>
      <c r="K12" s="28"/>
      <c r="L12" s="28"/>
      <c r="M12" s="28"/>
      <c r="N12" s="28"/>
      <c r="O12" s="28"/>
      <c r="P12" s="29"/>
    </row>
    <row r="13" spans="2:16" x14ac:dyDescent="0.35">
      <c r="C13" s="6"/>
      <c r="D13" s="28"/>
      <c r="E13" s="28"/>
      <c r="F13" s="28"/>
      <c r="G13" s="28"/>
      <c r="H13" s="28"/>
      <c r="I13" s="28"/>
      <c r="J13" s="28"/>
      <c r="K13" s="28"/>
      <c r="L13" s="28"/>
      <c r="M13" s="28"/>
      <c r="N13" s="28"/>
      <c r="O13" s="28"/>
      <c r="P13" s="29"/>
    </row>
    <row r="14" spans="2:16" ht="15" thickBot="1" x14ac:dyDescent="0.4">
      <c r="B14" s="11"/>
      <c r="C14" s="11"/>
      <c r="D14" s="30"/>
      <c r="E14" s="30"/>
      <c r="F14" s="30"/>
      <c r="G14" s="30"/>
      <c r="H14" s="30"/>
      <c r="I14" s="30"/>
      <c r="J14" s="30"/>
      <c r="K14" s="30"/>
      <c r="L14" s="30"/>
      <c r="M14" s="30"/>
      <c r="N14" s="30"/>
      <c r="O14" s="30"/>
      <c r="P14" s="31">
        <f t="shared" si="0"/>
        <v>0</v>
      </c>
    </row>
    <row r="15" spans="2:16" ht="15" thickTop="1" x14ac:dyDescent="0.35">
      <c r="B15" s="94" t="s">
        <v>56</v>
      </c>
      <c r="C15" s="94"/>
      <c r="D15" s="95">
        <f>SUM(D9:D14)</f>
        <v>0</v>
      </c>
      <c r="E15" s="95">
        <f t="shared" ref="E15:O15" si="1">SUM(E9:E14)</f>
        <v>0</v>
      </c>
      <c r="F15" s="95">
        <f t="shared" si="1"/>
        <v>0</v>
      </c>
      <c r="G15" s="95">
        <f t="shared" si="1"/>
        <v>0</v>
      </c>
      <c r="H15" s="95">
        <f t="shared" si="1"/>
        <v>15562</v>
      </c>
      <c r="I15" s="95">
        <f t="shared" si="1"/>
        <v>23343</v>
      </c>
      <c r="J15" s="95">
        <f t="shared" si="1"/>
        <v>27233.5</v>
      </c>
      <c r="K15" s="95">
        <f t="shared" si="1"/>
        <v>31124</v>
      </c>
      <c r="L15" s="95">
        <f t="shared" si="1"/>
        <v>0</v>
      </c>
      <c r="M15" s="95">
        <f t="shared" si="1"/>
        <v>0</v>
      </c>
      <c r="N15" s="95">
        <f t="shared" si="1"/>
        <v>0</v>
      </c>
      <c r="O15" s="95">
        <f t="shared" si="1"/>
        <v>0</v>
      </c>
      <c r="P15" s="95">
        <f>SUM(D15:O15)</f>
        <v>97262.5</v>
      </c>
    </row>
    <row r="16" spans="2:16" ht="18.5" x14ac:dyDescent="0.45">
      <c r="B16" s="15" t="s">
        <v>37</v>
      </c>
    </row>
    <row r="17" spans="2:2" x14ac:dyDescent="0.35">
      <c r="B17" s="14" t="s">
        <v>65</v>
      </c>
    </row>
    <row r="18" spans="2:2" x14ac:dyDescent="0.35">
      <c r="B18" s="34" t="s">
        <v>15</v>
      </c>
    </row>
    <row r="19" spans="2:2" x14ac:dyDescent="0.35">
      <c r="B19" s="34" t="s">
        <v>18</v>
      </c>
    </row>
    <row r="20" spans="2:2" x14ac:dyDescent="0.35">
      <c r="B20" s="34" t="s">
        <v>19</v>
      </c>
    </row>
    <row r="21" spans="2:2" x14ac:dyDescent="0.35">
      <c r="B21" s="34" t="s">
        <v>13</v>
      </c>
    </row>
    <row r="22" spans="2:2" x14ac:dyDescent="0.35">
      <c r="B22" s="34" t="s">
        <v>14</v>
      </c>
    </row>
    <row r="23" spans="2:2" x14ac:dyDescent="0.35">
      <c r="B23" s="34" t="s">
        <v>12</v>
      </c>
    </row>
    <row r="24" spans="2:2" x14ac:dyDescent="0.35">
      <c r="B24" s="34" t="s">
        <v>6</v>
      </c>
    </row>
    <row r="25" spans="2:2" x14ac:dyDescent="0.35">
      <c r="B25" s="34" t="s">
        <v>30</v>
      </c>
    </row>
    <row r="26" spans="2:2" x14ac:dyDescent="0.35">
      <c r="B26" s="34" t="s">
        <v>10</v>
      </c>
    </row>
    <row r="27" spans="2:2" x14ac:dyDescent="0.35">
      <c r="B27" s="34" t="s">
        <v>16</v>
      </c>
    </row>
    <row r="28" spans="2:2" x14ac:dyDescent="0.35">
      <c r="B28" s="34" t="s">
        <v>17</v>
      </c>
    </row>
    <row r="29" spans="2:2" x14ac:dyDescent="0.35">
      <c r="B29" s="14" t="s">
        <v>66</v>
      </c>
    </row>
    <row r="30" spans="2:2" x14ac:dyDescent="0.35">
      <c r="B30" s="34" t="s">
        <v>18</v>
      </c>
    </row>
    <row r="31" spans="2:2" x14ac:dyDescent="0.35">
      <c r="B31" s="34" t="s">
        <v>6</v>
      </c>
    </row>
    <row r="32" spans="2:2" x14ac:dyDescent="0.35">
      <c r="B32" s="34" t="s">
        <v>7</v>
      </c>
    </row>
    <row r="33" spans="2:2" x14ac:dyDescent="0.35">
      <c r="B33" s="34" t="s">
        <v>8</v>
      </c>
    </row>
    <row r="34" spans="2:2" x14ac:dyDescent="0.35">
      <c r="B34" s="34" t="s">
        <v>9</v>
      </c>
    </row>
    <row r="35" spans="2:2" x14ac:dyDescent="0.35">
      <c r="B35" s="34" t="s">
        <v>75</v>
      </c>
    </row>
    <row r="36" spans="2:2" x14ac:dyDescent="0.35">
      <c r="B36" s="34" t="s">
        <v>30</v>
      </c>
    </row>
    <row r="37" spans="2:2" x14ac:dyDescent="0.35">
      <c r="B37" s="34" t="s">
        <v>72</v>
      </c>
    </row>
    <row r="38" spans="2:2" x14ac:dyDescent="0.35">
      <c r="B38" s="34" t="s">
        <v>76</v>
      </c>
    </row>
    <row r="39" spans="2:2" x14ac:dyDescent="0.35">
      <c r="B39" s="34" t="s">
        <v>73</v>
      </c>
    </row>
    <row r="40" spans="2:2" x14ac:dyDescent="0.35">
      <c r="B40" s="34" t="s">
        <v>74</v>
      </c>
    </row>
    <row r="41" spans="2:2" x14ac:dyDescent="0.35">
      <c r="B41" s="14" t="s">
        <v>71</v>
      </c>
    </row>
    <row r="42" spans="2:2" x14ac:dyDescent="0.35">
      <c r="B42" s="34" t="s">
        <v>67</v>
      </c>
    </row>
    <row r="43" spans="2:2" x14ac:dyDescent="0.35">
      <c r="B43" s="34" t="s">
        <v>68</v>
      </c>
    </row>
    <row r="45" spans="2:2" x14ac:dyDescent="0.35">
      <c r="B45" s="14" t="s">
        <v>70</v>
      </c>
    </row>
    <row r="46" spans="2:2" x14ac:dyDescent="0.35">
      <c r="B46" s="34" t="s">
        <v>69</v>
      </c>
    </row>
    <row r="47" spans="2:2" x14ac:dyDescent="0.35">
      <c r="B47" s="34" t="s">
        <v>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7226-0E11-4B33-AF7F-A18EA2C9C4F9}">
  <sheetPr codeName="Taul3"/>
  <dimension ref="B2:O113"/>
  <sheetViews>
    <sheetView zoomScale="110" zoomScaleNormal="110" workbookViewId="0">
      <selection activeCell="B68" sqref="B68"/>
    </sheetView>
  </sheetViews>
  <sheetFormatPr defaultColWidth="9.1796875" defaultRowHeight="14.5" x14ac:dyDescent="0.35"/>
  <cols>
    <col min="1" max="1" width="2.7265625" style="5" customWidth="1"/>
    <col min="2" max="2" width="50.7265625" style="5" customWidth="1"/>
    <col min="3" max="3" width="25.7265625" style="5" customWidth="1"/>
    <col min="4" max="4" width="11.7265625" style="10" customWidth="1"/>
    <col min="5" max="5" width="22.7265625" style="10" bestFit="1" customWidth="1"/>
    <col min="6" max="7" width="11.7265625" style="10" customWidth="1"/>
    <col min="8" max="16" width="11.7265625" style="5" customWidth="1"/>
    <col min="17" max="16384" width="9.1796875" style="5"/>
  </cols>
  <sheetData>
    <row r="2" spans="2:15" ht="21" x14ac:dyDescent="0.5">
      <c r="B2" s="16" t="s">
        <v>35</v>
      </c>
    </row>
    <row r="3" spans="2:15" x14ac:dyDescent="0.35">
      <c r="B3" s="821" t="s">
        <v>789</v>
      </c>
      <c r="F3" s="4"/>
      <c r="G3" s="514" t="s">
        <v>2</v>
      </c>
      <c r="H3" s="3"/>
      <c r="I3" s="514" t="s">
        <v>31</v>
      </c>
      <c r="J3" s="514" t="s">
        <v>773</v>
      </c>
      <c r="K3" s="3"/>
      <c r="L3" s="3"/>
      <c r="M3" s="514" t="s">
        <v>774</v>
      </c>
    </row>
    <row r="4" spans="2:15" x14ac:dyDescent="0.35">
      <c r="E4" s="364"/>
      <c r="F4" s="364" t="s">
        <v>720</v>
      </c>
      <c r="G4" s="839">
        <v>6</v>
      </c>
      <c r="H4" s="8"/>
      <c r="I4" s="8">
        <f>G4</f>
        <v>6</v>
      </c>
      <c r="J4" s="8">
        <f>G4</f>
        <v>6</v>
      </c>
      <c r="K4" s="8"/>
      <c r="L4" s="8"/>
      <c r="M4" s="8">
        <f>G4</f>
        <v>6</v>
      </c>
    </row>
    <row r="5" spans="2:15" x14ac:dyDescent="0.35">
      <c r="B5" s="499" t="s">
        <v>977</v>
      </c>
      <c r="F5" s="502" t="s">
        <v>721</v>
      </c>
      <c r="G5" s="503">
        <f>G23/G4</f>
        <v>206.66666666666666</v>
      </c>
      <c r="H5" s="500"/>
      <c r="I5" s="503">
        <f>I23/I4</f>
        <v>310</v>
      </c>
      <c r="J5" s="503">
        <f>J23/J4</f>
        <v>516.66666666666663</v>
      </c>
      <c r="K5" s="504"/>
      <c r="L5" s="500"/>
      <c r="M5" s="503">
        <f>M23/M4</f>
        <v>648.41666666666663</v>
      </c>
      <c r="O5" s="506"/>
    </row>
    <row r="6" spans="2:15" x14ac:dyDescent="0.35">
      <c r="B6" s="838" t="s">
        <v>975</v>
      </c>
      <c r="O6" s="506"/>
    </row>
    <row r="7" spans="2:15" x14ac:dyDescent="0.35">
      <c r="E7" s="14"/>
      <c r="F7" s="1003" t="s">
        <v>0</v>
      </c>
      <c r="G7" s="1004"/>
      <c r="H7" s="1004"/>
      <c r="I7" s="1004"/>
      <c r="J7" s="1005"/>
      <c r="K7" s="1006" t="s">
        <v>89</v>
      </c>
      <c r="L7" s="1007"/>
    </row>
    <row r="8" spans="2:15" x14ac:dyDescent="0.35">
      <c r="B8" s="241" t="s">
        <v>778</v>
      </c>
      <c r="C8" s="3"/>
      <c r="F8" s="136" t="s">
        <v>88</v>
      </c>
      <c r="G8" s="137" t="s">
        <v>88</v>
      </c>
      <c r="H8" s="138"/>
      <c r="I8" s="137" t="s">
        <v>88</v>
      </c>
      <c r="J8" s="137" t="s">
        <v>88</v>
      </c>
      <c r="K8" s="136"/>
      <c r="L8" s="139"/>
      <c r="M8" s="139" t="s">
        <v>91</v>
      </c>
    </row>
    <row r="9" spans="2:15" s="8" customFormat="1" ht="13" x14ac:dyDescent="0.3">
      <c r="B9" s="75" t="s">
        <v>4</v>
      </c>
      <c r="C9" s="76" t="s">
        <v>5</v>
      </c>
      <c r="D9" s="67" t="s">
        <v>20</v>
      </c>
      <c r="E9" s="68" t="s">
        <v>21</v>
      </c>
      <c r="F9" s="131" t="s">
        <v>86</v>
      </c>
      <c r="G9" s="132" t="s">
        <v>2</v>
      </c>
      <c r="H9" s="132" t="s">
        <v>87</v>
      </c>
      <c r="I9" s="132" t="s">
        <v>31</v>
      </c>
      <c r="J9" s="132" t="s">
        <v>32</v>
      </c>
      <c r="K9" s="133" t="s">
        <v>33</v>
      </c>
      <c r="L9" s="134" t="s">
        <v>90</v>
      </c>
      <c r="M9" s="135" t="s">
        <v>32</v>
      </c>
    </row>
    <row r="10" spans="2:15" s="8" customFormat="1" ht="13" x14ac:dyDescent="0.3">
      <c r="B10" s="840" t="s">
        <v>772</v>
      </c>
      <c r="C10" s="841" t="s">
        <v>18</v>
      </c>
      <c r="D10" s="842">
        <v>20</v>
      </c>
      <c r="E10" s="843" t="s">
        <v>22</v>
      </c>
      <c r="F10" s="844">
        <v>20</v>
      </c>
      <c r="G10" s="69">
        <f>D10*F10</f>
        <v>400</v>
      </c>
      <c r="H10" s="852">
        <v>0.6</v>
      </c>
      <c r="I10" s="489">
        <f>J10-G10</f>
        <v>600</v>
      </c>
      <c r="J10" s="493">
        <f>G10/(100%-H10)</f>
        <v>1000</v>
      </c>
      <c r="K10" s="854">
        <v>0.255</v>
      </c>
      <c r="L10" s="70">
        <f>J10*K10</f>
        <v>255</v>
      </c>
      <c r="M10" s="496">
        <f>J10+L10</f>
        <v>1255</v>
      </c>
    </row>
    <row r="11" spans="2:15" s="8" customFormat="1" ht="13" x14ac:dyDescent="0.3">
      <c r="B11" s="840" t="s">
        <v>713</v>
      </c>
      <c r="C11" s="841" t="s">
        <v>12</v>
      </c>
      <c r="D11" s="845">
        <v>15</v>
      </c>
      <c r="E11" s="846" t="s">
        <v>22</v>
      </c>
      <c r="F11" s="847">
        <v>20</v>
      </c>
      <c r="G11" s="71">
        <f t="shared" ref="G11:G15" si="0">D11*F11</f>
        <v>300</v>
      </c>
      <c r="H11" s="853">
        <v>0.6</v>
      </c>
      <c r="I11" s="490">
        <f t="shared" ref="I11:I15" si="1">J11-G11</f>
        <v>450</v>
      </c>
      <c r="J11" s="494">
        <f t="shared" ref="J11:J15" si="2">G11/(100%-H11)</f>
        <v>750</v>
      </c>
      <c r="K11" s="855">
        <v>0.255</v>
      </c>
      <c r="L11" s="72">
        <f>J11*K11</f>
        <v>191.25</v>
      </c>
      <c r="M11" s="497">
        <f t="shared" ref="M11:M15" si="3">J11+L11</f>
        <v>941.25</v>
      </c>
    </row>
    <row r="12" spans="2:15" s="8" customFormat="1" ht="13" x14ac:dyDescent="0.3">
      <c r="B12" s="840" t="s">
        <v>714</v>
      </c>
      <c r="C12" s="841" t="s">
        <v>15</v>
      </c>
      <c r="D12" s="845">
        <v>1</v>
      </c>
      <c r="E12" s="846" t="s">
        <v>23</v>
      </c>
      <c r="F12" s="847">
        <v>120</v>
      </c>
      <c r="G12" s="71">
        <f t="shared" si="0"/>
        <v>120</v>
      </c>
      <c r="H12" s="853">
        <v>0.6</v>
      </c>
      <c r="I12" s="490">
        <f t="shared" si="1"/>
        <v>180</v>
      </c>
      <c r="J12" s="494">
        <f t="shared" si="2"/>
        <v>300</v>
      </c>
      <c r="K12" s="855">
        <v>0.255</v>
      </c>
      <c r="L12" s="72">
        <f t="shared" ref="L12:L15" si="4">J12*K12</f>
        <v>76.5</v>
      </c>
      <c r="M12" s="497">
        <f t="shared" si="3"/>
        <v>376.5</v>
      </c>
    </row>
    <row r="13" spans="2:15" s="8" customFormat="1" ht="13" x14ac:dyDescent="0.3">
      <c r="B13" s="840" t="s">
        <v>715</v>
      </c>
      <c r="C13" s="841" t="s">
        <v>15</v>
      </c>
      <c r="D13" s="845">
        <v>2</v>
      </c>
      <c r="E13" s="846" t="s">
        <v>23</v>
      </c>
      <c r="F13" s="847">
        <v>60</v>
      </c>
      <c r="G13" s="71">
        <f t="shared" si="0"/>
        <v>120</v>
      </c>
      <c r="H13" s="853">
        <v>0.6</v>
      </c>
      <c r="I13" s="490">
        <f t="shared" si="1"/>
        <v>180</v>
      </c>
      <c r="J13" s="494">
        <f t="shared" si="2"/>
        <v>300</v>
      </c>
      <c r="K13" s="855">
        <v>0.255</v>
      </c>
      <c r="L13" s="72">
        <f t="shared" si="4"/>
        <v>76.5</v>
      </c>
      <c r="M13" s="497">
        <f t="shared" si="3"/>
        <v>376.5</v>
      </c>
    </row>
    <row r="14" spans="2:15" s="8" customFormat="1" ht="13" x14ac:dyDescent="0.3">
      <c r="B14" s="840" t="s">
        <v>716</v>
      </c>
      <c r="C14" s="841" t="s">
        <v>15</v>
      </c>
      <c r="D14" s="845">
        <v>2</v>
      </c>
      <c r="E14" s="846" t="s">
        <v>23</v>
      </c>
      <c r="F14" s="847">
        <v>100</v>
      </c>
      <c r="G14" s="71">
        <f t="shared" si="0"/>
        <v>200</v>
      </c>
      <c r="H14" s="853">
        <v>0.6</v>
      </c>
      <c r="I14" s="490">
        <f t="shared" si="1"/>
        <v>300</v>
      </c>
      <c r="J14" s="494">
        <f t="shared" si="2"/>
        <v>500</v>
      </c>
      <c r="K14" s="855">
        <v>0.255</v>
      </c>
      <c r="L14" s="72">
        <f t="shared" si="4"/>
        <v>127.5</v>
      </c>
      <c r="M14" s="497">
        <f t="shared" si="3"/>
        <v>627.5</v>
      </c>
    </row>
    <row r="15" spans="2:15" x14ac:dyDescent="0.35">
      <c r="B15" s="840" t="s">
        <v>717</v>
      </c>
      <c r="C15" s="841" t="s">
        <v>15</v>
      </c>
      <c r="D15" s="845">
        <v>1</v>
      </c>
      <c r="E15" s="846" t="s">
        <v>23</v>
      </c>
      <c r="F15" s="847">
        <v>100</v>
      </c>
      <c r="G15" s="71">
        <f t="shared" si="0"/>
        <v>100</v>
      </c>
      <c r="H15" s="853">
        <v>0.6</v>
      </c>
      <c r="I15" s="490">
        <f t="shared" si="1"/>
        <v>150</v>
      </c>
      <c r="J15" s="494">
        <f t="shared" si="2"/>
        <v>250</v>
      </c>
      <c r="K15" s="855">
        <v>0.255</v>
      </c>
      <c r="L15" s="72">
        <f t="shared" si="4"/>
        <v>63.75</v>
      </c>
      <c r="M15" s="497">
        <f t="shared" si="3"/>
        <v>313.75</v>
      </c>
    </row>
    <row r="16" spans="2:15" x14ac:dyDescent="0.35">
      <c r="B16" s="840"/>
      <c r="C16" s="841" t="s">
        <v>3</v>
      </c>
      <c r="D16" s="845"/>
      <c r="E16" s="846" t="s">
        <v>3</v>
      </c>
      <c r="F16" s="847"/>
      <c r="G16" s="71">
        <f t="shared" ref="G16:G22" si="5">D16*F16</f>
        <v>0</v>
      </c>
      <c r="H16" s="853"/>
      <c r="I16" s="490">
        <f>J16-G16</f>
        <v>0</v>
      </c>
      <c r="J16" s="494">
        <f t="shared" ref="J16:J22" si="6">G16/(100%-H16)</f>
        <v>0</v>
      </c>
      <c r="K16" s="855"/>
      <c r="L16" s="72">
        <f>J16*K16</f>
        <v>0</v>
      </c>
      <c r="M16" s="497">
        <f t="shared" ref="M16:M22" si="7">J16+L16</f>
        <v>0</v>
      </c>
    </row>
    <row r="17" spans="2:14" x14ac:dyDescent="0.35">
      <c r="B17" s="840"/>
      <c r="C17" s="841" t="s">
        <v>3</v>
      </c>
      <c r="D17" s="845"/>
      <c r="E17" s="846" t="s">
        <v>3</v>
      </c>
      <c r="F17" s="847"/>
      <c r="G17" s="71">
        <f t="shared" si="5"/>
        <v>0</v>
      </c>
      <c r="H17" s="853"/>
      <c r="I17" s="490">
        <f t="shared" ref="I17:I22" si="8">J17-G17</f>
        <v>0</v>
      </c>
      <c r="J17" s="494">
        <f t="shared" si="6"/>
        <v>0</v>
      </c>
      <c r="K17" s="855"/>
      <c r="L17" s="72">
        <f t="shared" ref="L17:L22" si="9">J17*K17</f>
        <v>0</v>
      </c>
      <c r="M17" s="497">
        <f t="shared" si="7"/>
        <v>0</v>
      </c>
    </row>
    <row r="18" spans="2:14" x14ac:dyDescent="0.35">
      <c r="B18" s="840"/>
      <c r="C18" s="841" t="s">
        <v>3</v>
      </c>
      <c r="D18" s="845"/>
      <c r="E18" s="846" t="s">
        <v>3</v>
      </c>
      <c r="F18" s="847"/>
      <c r="G18" s="71">
        <f t="shared" si="5"/>
        <v>0</v>
      </c>
      <c r="H18" s="853"/>
      <c r="I18" s="490">
        <f t="shared" si="8"/>
        <v>0</v>
      </c>
      <c r="J18" s="494">
        <f t="shared" si="6"/>
        <v>0</v>
      </c>
      <c r="K18" s="855"/>
      <c r="L18" s="72">
        <f t="shared" si="9"/>
        <v>0</v>
      </c>
      <c r="M18" s="497">
        <f t="shared" si="7"/>
        <v>0</v>
      </c>
    </row>
    <row r="19" spans="2:14" x14ac:dyDescent="0.35">
      <c r="B19" s="840"/>
      <c r="C19" s="841" t="s">
        <v>3</v>
      </c>
      <c r="D19" s="845"/>
      <c r="E19" s="846" t="s">
        <v>3</v>
      </c>
      <c r="F19" s="847"/>
      <c r="G19" s="71">
        <f t="shared" si="5"/>
        <v>0</v>
      </c>
      <c r="H19" s="853"/>
      <c r="I19" s="490">
        <f t="shared" si="8"/>
        <v>0</v>
      </c>
      <c r="J19" s="494">
        <f t="shared" si="6"/>
        <v>0</v>
      </c>
      <c r="K19" s="855"/>
      <c r="L19" s="72">
        <f t="shared" si="9"/>
        <v>0</v>
      </c>
      <c r="M19" s="497">
        <f t="shared" si="7"/>
        <v>0</v>
      </c>
    </row>
    <row r="20" spans="2:14" x14ac:dyDescent="0.35">
      <c r="B20" s="840"/>
      <c r="C20" s="841" t="s">
        <v>3</v>
      </c>
      <c r="D20" s="845"/>
      <c r="E20" s="846" t="s">
        <v>3</v>
      </c>
      <c r="F20" s="847"/>
      <c r="G20" s="71">
        <f t="shared" si="5"/>
        <v>0</v>
      </c>
      <c r="H20" s="853"/>
      <c r="I20" s="490">
        <f t="shared" si="8"/>
        <v>0</v>
      </c>
      <c r="J20" s="494">
        <f t="shared" si="6"/>
        <v>0</v>
      </c>
      <c r="K20" s="855"/>
      <c r="L20" s="72">
        <f t="shared" si="9"/>
        <v>0</v>
      </c>
      <c r="M20" s="497">
        <f t="shared" si="7"/>
        <v>0</v>
      </c>
    </row>
    <row r="21" spans="2:14" x14ac:dyDescent="0.35">
      <c r="B21" s="840"/>
      <c r="C21" s="841" t="s">
        <v>3</v>
      </c>
      <c r="D21" s="845"/>
      <c r="E21" s="846" t="s">
        <v>3</v>
      </c>
      <c r="F21" s="847"/>
      <c r="G21" s="71">
        <f t="shared" si="5"/>
        <v>0</v>
      </c>
      <c r="H21" s="853"/>
      <c r="I21" s="490">
        <f t="shared" si="8"/>
        <v>0</v>
      </c>
      <c r="J21" s="494">
        <f t="shared" si="6"/>
        <v>0</v>
      </c>
      <c r="K21" s="855"/>
      <c r="L21" s="72">
        <f t="shared" si="9"/>
        <v>0</v>
      </c>
      <c r="M21" s="497">
        <f t="shared" si="7"/>
        <v>0</v>
      </c>
    </row>
    <row r="22" spans="2:14" ht="15" thickBot="1" x14ac:dyDescent="0.4">
      <c r="B22" s="848"/>
      <c r="C22" s="849" t="s">
        <v>3</v>
      </c>
      <c r="D22" s="850"/>
      <c r="E22" s="851" t="s">
        <v>3</v>
      </c>
      <c r="F22" s="847"/>
      <c r="G22" s="71">
        <f t="shared" si="5"/>
        <v>0</v>
      </c>
      <c r="H22" s="853"/>
      <c r="I22" s="490">
        <f t="shared" si="8"/>
        <v>0</v>
      </c>
      <c r="J22" s="494">
        <f t="shared" si="6"/>
        <v>0</v>
      </c>
      <c r="K22" s="856"/>
      <c r="L22" s="74">
        <f t="shared" si="9"/>
        <v>0</v>
      </c>
      <c r="M22" s="498">
        <f t="shared" si="7"/>
        <v>0</v>
      </c>
    </row>
    <row r="23" spans="2:14" s="8" customFormat="1" ht="13.5" thickTop="1" x14ac:dyDescent="0.3">
      <c r="B23" s="78"/>
      <c r="C23" s="79"/>
      <c r="D23" s="80"/>
      <c r="E23" s="81"/>
      <c r="F23" s="82"/>
      <c r="G23" s="83">
        <f>SUM(G10:G22)</f>
        <v>1240</v>
      </c>
      <c r="H23" s="513"/>
      <c r="I23" s="405">
        <f>SUM(I10:I22)</f>
        <v>1860</v>
      </c>
      <c r="J23" s="85">
        <f>SUM(J10:J22)</f>
        <v>3100</v>
      </c>
      <c r="K23" s="86"/>
      <c r="L23" s="87">
        <f>SUM(L10:L22)</f>
        <v>790.5</v>
      </c>
      <c r="M23" s="88">
        <f>SUM(M10:M22)</f>
        <v>3890.5</v>
      </c>
    </row>
    <row r="24" spans="2:14" x14ac:dyDescent="0.35">
      <c r="B24" s="8"/>
      <c r="C24" s="8"/>
      <c r="D24" s="9"/>
      <c r="E24" s="9"/>
      <c r="F24" s="9"/>
      <c r="G24" s="9"/>
      <c r="H24" s="8"/>
      <c r="I24" s="77">
        <f>I23/J23</f>
        <v>0.6</v>
      </c>
      <c r="J24" s="8"/>
      <c r="K24" s="8"/>
      <c r="L24" s="8"/>
      <c r="M24" s="8"/>
    </row>
    <row r="25" spans="2:14" x14ac:dyDescent="0.35">
      <c r="B25" s="8"/>
      <c r="C25" s="8"/>
      <c r="D25" s="9"/>
      <c r="E25" s="9"/>
      <c r="F25" s="9"/>
      <c r="G25" s="9"/>
      <c r="H25" s="8"/>
      <c r="I25" s="77"/>
      <c r="J25" s="8"/>
      <c r="K25" s="8"/>
      <c r="L25" s="8"/>
      <c r="M25" s="8"/>
    </row>
    <row r="26" spans="2:14" x14ac:dyDescent="0.35">
      <c r="B26" s="363" t="s">
        <v>976</v>
      </c>
      <c r="C26" s="8"/>
      <c r="D26" s="9"/>
      <c r="E26" s="9"/>
      <c r="F26" s="1003" t="s">
        <v>0</v>
      </c>
      <c r="G26" s="1004"/>
      <c r="H26" s="1004"/>
      <c r="I26" s="1004"/>
      <c r="J26" s="1005"/>
      <c r="K26" s="1006" t="s">
        <v>89</v>
      </c>
      <c r="L26" s="1007"/>
      <c r="M26" s="8"/>
    </row>
    <row r="27" spans="2:14" x14ac:dyDescent="0.35">
      <c r="B27" s="8"/>
      <c r="C27" s="8"/>
      <c r="D27" s="9"/>
      <c r="E27" s="9"/>
      <c r="F27" s="136" t="s">
        <v>88</v>
      </c>
      <c r="G27" s="137" t="s">
        <v>88</v>
      </c>
      <c r="H27" s="137"/>
      <c r="I27" s="509" t="s">
        <v>88</v>
      </c>
      <c r="J27" s="139" t="s">
        <v>88</v>
      </c>
      <c r="K27" s="304"/>
      <c r="L27" s="510"/>
      <c r="M27" s="327" t="s">
        <v>91</v>
      </c>
    </row>
    <row r="28" spans="2:14" ht="30" customHeight="1" x14ac:dyDescent="0.35">
      <c r="B28" s="76" t="s">
        <v>781</v>
      </c>
      <c r="C28" s="76" t="s">
        <v>782</v>
      </c>
      <c r="D28" s="67" t="s">
        <v>20</v>
      </c>
      <c r="E28" s="501" t="s">
        <v>21</v>
      </c>
      <c r="F28" s="131" t="s">
        <v>86</v>
      </c>
      <c r="G28" s="132" t="s">
        <v>2</v>
      </c>
      <c r="H28" s="132" t="s">
        <v>87</v>
      </c>
      <c r="I28" s="132" t="s">
        <v>31</v>
      </c>
      <c r="J28" s="132" t="s">
        <v>62</v>
      </c>
      <c r="K28" s="131" t="s">
        <v>33</v>
      </c>
      <c r="L28" s="135" t="s">
        <v>90</v>
      </c>
      <c r="M28" s="135" t="s">
        <v>32</v>
      </c>
      <c r="N28" s="511" t="s">
        <v>791</v>
      </c>
    </row>
    <row r="29" spans="2:14" x14ac:dyDescent="0.35">
      <c r="B29" s="840" t="s">
        <v>784</v>
      </c>
      <c r="C29" s="857" t="s">
        <v>779</v>
      </c>
      <c r="D29" s="845"/>
      <c r="E29" s="846" t="s">
        <v>23</v>
      </c>
      <c r="F29" s="844"/>
      <c r="G29" s="71">
        <f t="shared" ref="G29:G35" si="10">D29*F29</f>
        <v>0</v>
      </c>
      <c r="H29" s="853"/>
      <c r="I29" s="490">
        <f>J29-G29</f>
        <v>0</v>
      </c>
      <c r="J29" s="493">
        <f>G29/(100%-H29)</f>
        <v>0</v>
      </c>
      <c r="K29" s="854">
        <v>0</v>
      </c>
      <c r="L29" s="70">
        <f>J29*K29</f>
        <v>0</v>
      </c>
      <c r="M29" s="496">
        <f>J29+L29</f>
        <v>0</v>
      </c>
      <c r="N29" s="512" t="e">
        <f t="shared" ref="N29:N30" si="11">J29/D29</f>
        <v>#DIV/0!</v>
      </c>
    </row>
    <row r="30" spans="2:14" x14ac:dyDescent="0.35">
      <c r="B30" s="840" t="s">
        <v>784</v>
      </c>
      <c r="C30" s="858" t="s">
        <v>780</v>
      </c>
      <c r="D30" s="845"/>
      <c r="E30" s="846" t="s">
        <v>23</v>
      </c>
      <c r="F30" s="847"/>
      <c r="G30" s="71">
        <f t="shared" si="10"/>
        <v>0</v>
      </c>
      <c r="H30" s="853"/>
      <c r="I30" s="490">
        <f t="shared" ref="I30:I35" si="12">J30-G30</f>
        <v>0</v>
      </c>
      <c r="J30" s="494">
        <f t="shared" ref="J30:J35" si="13">G30/(100%-H30)</f>
        <v>0</v>
      </c>
      <c r="K30" s="855">
        <v>0</v>
      </c>
      <c r="L30" s="72">
        <f t="shared" ref="L30" si="14">J30*K30</f>
        <v>0</v>
      </c>
      <c r="M30" s="497">
        <f t="shared" ref="M30" si="15">J30+L30</f>
        <v>0</v>
      </c>
      <c r="N30" s="512" t="e">
        <f t="shared" si="11"/>
        <v>#DIV/0!</v>
      </c>
    </row>
    <row r="31" spans="2:14" x14ac:dyDescent="0.35">
      <c r="B31" s="840" t="s">
        <v>790</v>
      </c>
      <c r="C31" s="858" t="s">
        <v>785</v>
      </c>
      <c r="D31" s="845"/>
      <c r="E31" s="846" t="s">
        <v>27</v>
      </c>
      <c r="F31" s="847"/>
      <c r="G31" s="71">
        <f t="shared" si="10"/>
        <v>0</v>
      </c>
      <c r="H31" s="853"/>
      <c r="I31" s="490">
        <f t="shared" si="12"/>
        <v>0</v>
      </c>
      <c r="J31" s="494">
        <f t="shared" si="13"/>
        <v>0</v>
      </c>
      <c r="K31" s="855">
        <v>0</v>
      </c>
      <c r="L31" s="72">
        <f t="shared" ref="L31:L35" si="16">J31*K31</f>
        <v>0</v>
      </c>
      <c r="M31" s="497">
        <f t="shared" ref="M31:M35" si="17">J31+L31</f>
        <v>0</v>
      </c>
      <c r="N31" s="505" t="e">
        <f>J31/D31</f>
        <v>#DIV/0!</v>
      </c>
    </row>
    <row r="32" spans="2:14" x14ac:dyDescent="0.35">
      <c r="B32" s="840" t="s">
        <v>783</v>
      </c>
      <c r="C32" s="858" t="s">
        <v>785</v>
      </c>
      <c r="D32" s="845"/>
      <c r="E32" s="846" t="s">
        <v>27</v>
      </c>
      <c r="F32" s="847"/>
      <c r="G32" s="71">
        <f t="shared" si="10"/>
        <v>0</v>
      </c>
      <c r="H32" s="853"/>
      <c r="I32" s="490">
        <f t="shared" si="12"/>
        <v>0</v>
      </c>
      <c r="J32" s="494">
        <f t="shared" si="13"/>
        <v>0</v>
      </c>
      <c r="K32" s="855">
        <v>0</v>
      </c>
      <c r="L32" s="72">
        <f t="shared" si="16"/>
        <v>0</v>
      </c>
      <c r="M32" s="497">
        <f t="shared" si="17"/>
        <v>0</v>
      </c>
      <c r="N32" s="505" t="e">
        <f t="shared" ref="N32:N35" si="18">J32/D32</f>
        <v>#DIV/0!</v>
      </c>
    </row>
    <row r="33" spans="2:14" x14ac:dyDescent="0.35">
      <c r="B33" s="840" t="s">
        <v>783</v>
      </c>
      <c r="C33" s="858" t="s">
        <v>786</v>
      </c>
      <c r="D33" s="845"/>
      <c r="E33" s="846" t="s">
        <v>27</v>
      </c>
      <c r="F33" s="847"/>
      <c r="G33" s="71">
        <f t="shared" si="10"/>
        <v>0</v>
      </c>
      <c r="H33" s="853"/>
      <c r="I33" s="490">
        <f t="shared" si="12"/>
        <v>0</v>
      </c>
      <c r="J33" s="494">
        <f t="shared" si="13"/>
        <v>0</v>
      </c>
      <c r="K33" s="855">
        <v>0</v>
      </c>
      <c r="L33" s="72">
        <f t="shared" si="16"/>
        <v>0</v>
      </c>
      <c r="M33" s="497">
        <f t="shared" si="17"/>
        <v>0</v>
      </c>
      <c r="N33" s="505" t="e">
        <f t="shared" si="18"/>
        <v>#DIV/0!</v>
      </c>
    </row>
    <row r="34" spans="2:14" x14ac:dyDescent="0.35">
      <c r="B34" s="840" t="s">
        <v>783</v>
      </c>
      <c r="C34" s="858" t="s">
        <v>786</v>
      </c>
      <c r="D34" s="845"/>
      <c r="E34" s="846" t="s">
        <v>27</v>
      </c>
      <c r="F34" s="847"/>
      <c r="G34" s="71">
        <f t="shared" si="10"/>
        <v>0</v>
      </c>
      <c r="H34" s="853"/>
      <c r="I34" s="490">
        <f t="shared" si="12"/>
        <v>0</v>
      </c>
      <c r="J34" s="494">
        <f t="shared" si="13"/>
        <v>0</v>
      </c>
      <c r="K34" s="855">
        <v>0</v>
      </c>
      <c r="L34" s="72">
        <f t="shared" si="16"/>
        <v>0</v>
      </c>
      <c r="M34" s="497">
        <f t="shared" si="17"/>
        <v>0</v>
      </c>
      <c r="N34" s="505" t="e">
        <f t="shared" si="18"/>
        <v>#DIV/0!</v>
      </c>
    </row>
    <row r="35" spans="2:14" ht="15" thickBot="1" x14ac:dyDescent="0.4">
      <c r="B35" s="848" t="s">
        <v>788</v>
      </c>
      <c r="C35" s="849" t="s">
        <v>787</v>
      </c>
      <c r="D35" s="850"/>
      <c r="E35" s="846" t="s">
        <v>23</v>
      </c>
      <c r="F35" s="859"/>
      <c r="G35" s="73">
        <f t="shared" si="10"/>
        <v>0</v>
      </c>
      <c r="H35" s="860"/>
      <c r="I35" s="491">
        <f t="shared" si="12"/>
        <v>0</v>
      </c>
      <c r="J35" s="495">
        <f t="shared" si="13"/>
        <v>0</v>
      </c>
      <c r="K35" s="856">
        <v>0</v>
      </c>
      <c r="L35" s="74">
        <f t="shared" si="16"/>
        <v>0</v>
      </c>
      <c r="M35" s="498">
        <f t="shared" si="17"/>
        <v>0</v>
      </c>
      <c r="N35" s="507" t="e">
        <f t="shared" si="18"/>
        <v>#DIV/0!</v>
      </c>
    </row>
    <row r="36" spans="2:14" ht="15" thickTop="1" x14ac:dyDescent="0.35">
      <c r="B36" s="78"/>
      <c r="C36" s="79"/>
      <c r="D36" s="80"/>
      <c r="E36" s="81"/>
      <c r="F36" s="82"/>
      <c r="G36" s="83">
        <f>SUM(G29:G35)</f>
        <v>0</v>
      </c>
      <c r="H36" s="84"/>
      <c r="I36" s="405">
        <f>SUM(I29:I35)</f>
        <v>0</v>
      </c>
      <c r="J36" s="85">
        <f>SUM(J29:J35)</f>
        <v>0</v>
      </c>
      <c r="K36" s="86"/>
      <c r="L36" s="87">
        <f>SUM(L29:L35)</f>
        <v>0</v>
      </c>
      <c r="M36" s="88">
        <f>SUM(M29:M35)</f>
        <v>0</v>
      </c>
      <c r="N36" s="508"/>
    </row>
    <row r="37" spans="2:14" x14ac:dyDescent="0.35">
      <c r="I37" s="77" t="e">
        <f>I36/J36</f>
        <v>#DIV/0!</v>
      </c>
    </row>
    <row r="38" spans="2:14" ht="15" thickBot="1" x14ac:dyDescent="0.4">
      <c r="B38" s="179"/>
      <c r="C38" s="179"/>
      <c r="D38" s="180"/>
      <c r="E38" s="180"/>
      <c r="F38" s="180"/>
      <c r="G38" s="180"/>
      <c r="H38" s="179"/>
      <c r="I38" s="179"/>
      <c r="J38" s="179"/>
      <c r="K38" s="179"/>
      <c r="L38" s="179"/>
      <c r="M38" s="179"/>
      <c r="N38" s="179"/>
    </row>
    <row r="41" spans="2:14" x14ac:dyDescent="0.35">
      <c r="B41" s="821" t="s">
        <v>789</v>
      </c>
      <c r="F41" s="4"/>
      <c r="G41" s="514" t="s">
        <v>2</v>
      </c>
      <c r="H41" s="3"/>
      <c r="I41" s="514" t="s">
        <v>31</v>
      </c>
      <c r="J41" s="514" t="s">
        <v>773</v>
      </c>
      <c r="K41" s="3"/>
      <c r="L41" s="3"/>
      <c r="M41" s="514" t="s">
        <v>774</v>
      </c>
    </row>
    <row r="42" spans="2:14" x14ac:dyDescent="0.35">
      <c r="E42" s="364"/>
      <c r="F42" s="364" t="s">
        <v>720</v>
      </c>
      <c r="G42" s="839"/>
      <c r="H42" s="8"/>
      <c r="I42" s="8">
        <f>G42</f>
        <v>0</v>
      </c>
      <c r="J42" s="8">
        <f>G42</f>
        <v>0</v>
      </c>
      <c r="K42" s="8"/>
      <c r="L42" s="8"/>
      <c r="M42" s="8">
        <f>G42</f>
        <v>0</v>
      </c>
    </row>
    <row r="43" spans="2:14" x14ac:dyDescent="0.35">
      <c r="B43" s="499" t="s">
        <v>977</v>
      </c>
      <c r="F43" s="502" t="s">
        <v>721</v>
      </c>
      <c r="G43" s="503" t="e">
        <f>G61/G42</f>
        <v>#DIV/0!</v>
      </c>
      <c r="H43" s="500"/>
      <c r="I43" s="503" t="e">
        <f>I61/I42</f>
        <v>#DIV/0!</v>
      </c>
      <c r="J43" s="503" t="e">
        <f>J61/J42</f>
        <v>#DIV/0!</v>
      </c>
      <c r="K43" s="504"/>
      <c r="L43" s="500"/>
      <c r="M43" s="503" t="e">
        <f>M61/M42</f>
        <v>#DIV/0!</v>
      </c>
    </row>
    <row r="44" spans="2:14" x14ac:dyDescent="0.35">
      <c r="B44" s="838" t="s">
        <v>978</v>
      </c>
    </row>
    <row r="45" spans="2:14" x14ac:dyDescent="0.35">
      <c r="E45" s="14"/>
      <c r="F45" s="1003" t="s">
        <v>0</v>
      </c>
      <c r="G45" s="1004"/>
      <c r="H45" s="1004"/>
      <c r="I45" s="1004"/>
      <c r="J45" s="1005"/>
      <c r="K45" s="1006" t="s">
        <v>89</v>
      </c>
      <c r="L45" s="1007"/>
    </row>
    <row r="46" spans="2:14" x14ac:dyDescent="0.35">
      <c r="B46" s="241" t="s">
        <v>778</v>
      </c>
      <c r="C46" s="3"/>
      <c r="F46" s="136" t="s">
        <v>88</v>
      </c>
      <c r="G46" s="137" t="s">
        <v>88</v>
      </c>
      <c r="H46" s="138"/>
      <c r="I46" s="137" t="s">
        <v>88</v>
      </c>
      <c r="J46" s="137" t="s">
        <v>88</v>
      </c>
      <c r="K46" s="136"/>
      <c r="L46" s="139"/>
      <c r="M46" s="139" t="s">
        <v>91</v>
      </c>
    </row>
    <row r="47" spans="2:14" x14ac:dyDescent="0.35">
      <c r="B47" s="75" t="s">
        <v>4</v>
      </c>
      <c r="C47" s="76" t="s">
        <v>5</v>
      </c>
      <c r="D47" s="67" t="s">
        <v>20</v>
      </c>
      <c r="E47" s="68" t="s">
        <v>21</v>
      </c>
      <c r="F47" s="131" t="s">
        <v>86</v>
      </c>
      <c r="G47" s="132" t="s">
        <v>2</v>
      </c>
      <c r="H47" s="132" t="s">
        <v>87</v>
      </c>
      <c r="I47" s="132" t="s">
        <v>31</v>
      </c>
      <c r="J47" s="132" t="s">
        <v>32</v>
      </c>
      <c r="K47" s="133" t="s">
        <v>33</v>
      </c>
      <c r="L47" s="134" t="s">
        <v>90</v>
      </c>
      <c r="M47" s="135" t="s">
        <v>32</v>
      </c>
      <c r="N47" s="8"/>
    </row>
    <row r="48" spans="2:14" x14ac:dyDescent="0.35">
      <c r="B48" s="840"/>
      <c r="C48" s="841"/>
      <c r="D48" s="842"/>
      <c r="E48" s="843"/>
      <c r="F48" s="844"/>
      <c r="G48" s="69">
        <f>D48*F48</f>
        <v>0</v>
      </c>
      <c r="H48" s="852"/>
      <c r="I48" s="489">
        <f>J48-G48</f>
        <v>0</v>
      </c>
      <c r="J48" s="493">
        <f>G48/(100%-H48)</f>
        <v>0</v>
      </c>
      <c r="K48" s="854"/>
      <c r="L48" s="70">
        <f>J48*K48</f>
        <v>0</v>
      </c>
      <c r="M48" s="496">
        <f>J48+L48</f>
        <v>0</v>
      </c>
      <c r="N48" s="8"/>
    </row>
    <row r="49" spans="2:14" x14ac:dyDescent="0.35">
      <c r="B49" s="840"/>
      <c r="C49" s="841"/>
      <c r="D49" s="845"/>
      <c r="E49" s="846"/>
      <c r="F49" s="847"/>
      <c r="G49" s="71">
        <f t="shared" ref="G49:G60" si="19">D49*F49</f>
        <v>0</v>
      </c>
      <c r="H49" s="853"/>
      <c r="I49" s="490">
        <f t="shared" ref="I49:I53" si="20">J49-G49</f>
        <v>0</v>
      </c>
      <c r="J49" s="494">
        <f t="shared" ref="J49:J60" si="21">G49/(100%-H49)</f>
        <v>0</v>
      </c>
      <c r="K49" s="855"/>
      <c r="L49" s="72">
        <f>J49*K49</f>
        <v>0</v>
      </c>
      <c r="M49" s="497">
        <f t="shared" ref="M49:M60" si="22">J49+L49</f>
        <v>0</v>
      </c>
      <c r="N49" s="8"/>
    </row>
    <row r="50" spans="2:14" x14ac:dyDescent="0.35">
      <c r="B50" s="840"/>
      <c r="C50" s="841"/>
      <c r="D50" s="845"/>
      <c r="E50" s="846"/>
      <c r="F50" s="847"/>
      <c r="G50" s="71">
        <f t="shared" si="19"/>
        <v>0</v>
      </c>
      <c r="H50" s="853"/>
      <c r="I50" s="490">
        <f t="shared" si="20"/>
        <v>0</v>
      </c>
      <c r="J50" s="494">
        <f t="shared" si="21"/>
        <v>0</v>
      </c>
      <c r="K50" s="855"/>
      <c r="L50" s="72">
        <f t="shared" ref="L50:L53" si="23">J50*K50</f>
        <v>0</v>
      </c>
      <c r="M50" s="497">
        <f t="shared" si="22"/>
        <v>0</v>
      </c>
      <c r="N50" s="8"/>
    </row>
    <row r="51" spans="2:14" x14ac:dyDescent="0.35">
      <c r="B51" s="840"/>
      <c r="C51" s="841"/>
      <c r="D51" s="845"/>
      <c r="E51" s="846"/>
      <c r="F51" s="847"/>
      <c r="G51" s="71">
        <f t="shared" si="19"/>
        <v>0</v>
      </c>
      <c r="H51" s="853"/>
      <c r="I51" s="490">
        <f t="shared" si="20"/>
        <v>0</v>
      </c>
      <c r="J51" s="494">
        <f t="shared" si="21"/>
        <v>0</v>
      </c>
      <c r="K51" s="855"/>
      <c r="L51" s="72">
        <f t="shared" si="23"/>
        <v>0</v>
      </c>
      <c r="M51" s="497">
        <f t="shared" si="22"/>
        <v>0</v>
      </c>
      <c r="N51" s="8"/>
    </row>
    <row r="52" spans="2:14" x14ac:dyDescent="0.35">
      <c r="B52" s="840"/>
      <c r="C52" s="841"/>
      <c r="D52" s="845"/>
      <c r="E52" s="846"/>
      <c r="F52" s="847"/>
      <c r="G52" s="71">
        <f t="shared" si="19"/>
        <v>0</v>
      </c>
      <c r="H52" s="853"/>
      <c r="I52" s="490">
        <f t="shared" si="20"/>
        <v>0</v>
      </c>
      <c r="J52" s="494">
        <f t="shared" si="21"/>
        <v>0</v>
      </c>
      <c r="K52" s="855"/>
      <c r="L52" s="72">
        <f t="shared" si="23"/>
        <v>0</v>
      </c>
      <c r="M52" s="497">
        <f t="shared" si="22"/>
        <v>0</v>
      </c>
      <c r="N52" s="8"/>
    </row>
    <row r="53" spans="2:14" x14ac:dyDescent="0.35">
      <c r="B53" s="840"/>
      <c r="C53" s="841"/>
      <c r="D53" s="845"/>
      <c r="E53" s="846"/>
      <c r="F53" s="847"/>
      <c r="G53" s="71">
        <f t="shared" si="19"/>
        <v>0</v>
      </c>
      <c r="H53" s="853"/>
      <c r="I53" s="490">
        <f t="shared" si="20"/>
        <v>0</v>
      </c>
      <c r="J53" s="494">
        <f t="shared" si="21"/>
        <v>0</v>
      </c>
      <c r="K53" s="855"/>
      <c r="L53" s="72">
        <f t="shared" si="23"/>
        <v>0</v>
      </c>
      <c r="M53" s="497">
        <f t="shared" si="22"/>
        <v>0</v>
      </c>
    </row>
    <row r="54" spans="2:14" x14ac:dyDescent="0.35">
      <c r="B54" s="840"/>
      <c r="C54" s="841"/>
      <c r="D54" s="845"/>
      <c r="E54" s="846"/>
      <c r="F54" s="847"/>
      <c r="G54" s="71">
        <f t="shared" si="19"/>
        <v>0</v>
      </c>
      <c r="H54" s="853"/>
      <c r="I54" s="490">
        <f>J54-G54</f>
        <v>0</v>
      </c>
      <c r="J54" s="494">
        <f t="shared" si="21"/>
        <v>0</v>
      </c>
      <c r="K54" s="855"/>
      <c r="L54" s="72">
        <f>J54*K54</f>
        <v>0</v>
      </c>
      <c r="M54" s="497">
        <f t="shared" si="22"/>
        <v>0</v>
      </c>
    </row>
    <row r="55" spans="2:14" x14ac:dyDescent="0.35">
      <c r="B55" s="840"/>
      <c r="C55" s="841"/>
      <c r="D55" s="845"/>
      <c r="E55" s="846"/>
      <c r="F55" s="847"/>
      <c r="G55" s="71">
        <f t="shared" si="19"/>
        <v>0</v>
      </c>
      <c r="H55" s="853"/>
      <c r="I55" s="490">
        <f t="shared" ref="I55:I60" si="24">J55-G55</f>
        <v>0</v>
      </c>
      <c r="J55" s="494">
        <f t="shared" si="21"/>
        <v>0</v>
      </c>
      <c r="K55" s="855"/>
      <c r="L55" s="72">
        <f t="shared" ref="L55:L60" si="25">J55*K55</f>
        <v>0</v>
      </c>
      <c r="M55" s="497">
        <f t="shared" si="22"/>
        <v>0</v>
      </c>
    </row>
    <row r="56" spans="2:14" x14ac:dyDescent="0.35">
      <c r="B56" s="840"/>
      <c r="C56" s="841"/>
      <c r="D56" s="845"/>
      <c r="E56" s="846"/>
      <c r="F56" s="847"/>
      <c r="G56" s="71">
        <f t="shared" si="19"/>
        <v>0</v>
      </c>
      <c r="H56" s="853"/>
      <c r="I56" s="490">
        <f t="shared" si="24"/>
        <v>0</v>
      </c>
      <c r="J56" s="494">
        <f t="shared" si="21"/>
        <v>0</v>
      </c>
      <c r="K56" s="855"/>
      <c r="L56" s="72">
        <f t="shared" si="25"/>
        <v>0</v>
      </c>
      <c r="M56" s="497">
        <f t="shared" si="22"/>
        <v>0</v>
      </c>
    </row>
    <row r="57" spans="2:14" x14ac:dyDescent="0.35">
      <c r="B57" s="840"/>
      <c r="C57" s="841"/>
      <c r="D57" s="845"/>
      <c r="E57" s="846"/>
      <c r="F57" s="847"/>
      <c r="G57" s="71">
        <f t="shared" si="19"/>
        <v>0</v>
      </c>
      <c r="H57" s="853"/>
      <c r="I57" s="490">
        <f t="shared" si="24"/>
        <v>0</v>
      </c>
      <c r="J57" s="494">
        <f t="shared" si="21"/>
        <v>0</v>
      </c>
      <c r="K57" s="855"/>
      <c r="L57" s="72">
        <f t="shared" si="25"/>
        <v>0</v>
      </c>
      <c r="M57" s="497">
        <f t="shared" si="22"/>
        <v>0</v>
      </c>
    </row>
    <row r="58" spans="2:14" x14ac:dyDescent="0.35">
      <c r="B58" s="840"/>
      <c r="C58" s="841"/>
      <c r="D58" s="845"/>
      <c r="E58" s="846"/>
      <c r="F58" s="847"/>
      <c r="G58" s="71">
        <f t="shared" si="19"/>
        <v>0</v>
      </c>
      <c r="H58" s="853"/>
      <c r="I58" s="490">
        <f t="shared" si="24"/>
        <v>0</v>
      </c>
      <c r="J58" s="494">
        <f t="shared" si="21"/>
        <v>0</v>
      </c>
      <c r="K58" s="855"/>
      <c r="L58" s="72">
        <f t="shared" si="25"/>
        <v>0</v>
      </c>
      <c r="M58" s="497">
        <f t="shared" si="22"/>
        <v>0</v>
      </c>
    </row>
    <row r="59" spans="2:14" x14ac:dyDescent="0.35">
      <c r="B59" s="840"/>
      <c r="C59" s="841"/>
      <c r="D59" s="845"/>
      <c r="E59" s="846"/>
      <c r="F59" s="847"/>
      <c r="G59" s="71">
        <f t="shared" si="19"/>
        <v>0</v>
      </c>
      <c r="H59" s="853"/>
      <c r="I59" s="490">
        <f t="shared" si="24"/>
        <v>0</v>
      </c>
      <c r="J59" s="494">
        <f t="shared" si="21"/>
        <v>0</v>
      </c>
      <c r="K59" s="855"/>
      <c r="L59" s="72">
        <f t="shared" si="25"/>
        <v>0</v>
      </c>
      <c r="M59" s="497">
        <f t="shared" si="22"/>
        <v>0</v>
      </c>
    </row>
    <row r="60" spans="2:14" ht="15" thickBot="1" x14ac:dyDescent="0.4">
      <c r="B60" s="848"/>
      <c r="C60" s="849"/>
      <c r="D60" s="850"/>
      <c r="E60" s="851"/>
      <c r="F60" s="847"/>
      <c r="G60" s="71">
        <f t="shared" si="19"/>
        <v>0</v>
      </c>
      <c r="H60" s="853"/>
      <c r="I60" s="490">
        <f t="shared" si="24"/>
        <v>0</v>
      </c>
      <c r="J60" s="494">
        <f t="shared" si="21"/>
        <v>0</v>
      </c>
      <c r="K60" s="856"/>
      <c r="L60" s="74">
        <f t="shared" si="25"/>
        <v>0</v>
      </c>
      <c r="M60" s="498">
        <f t="shared" si="22"/>
        <v>0</v>
      </c>
    </row>
    <row r="61" spans="2:14" ht="15" thickTop="1" x14ac:dyDescent="0.35">
      <c r="B61" s="78"/>
      <c r="C61" s="79"/>
      <c r="D61" s="80"/>
      <c r="E61" s="81"/>
      <c r="F61" s="82"/>
      <c r="G61" s="83">
        <f>SUM(G48:G60)</f>
        <v>0</v>
      </c>
      <c r="H61" s="513"/>
      <c r="I61" s="405">
        <f>SUM(I48:I60)</f>
        <v>0</v>
      </c>
      <c r="J61" s="85">
        <f>SUM(J48:J60)</f>
        <v>0</v>
      </c>
      <c r="K61" s="86"/>
      <c r="L61" s="87">
        <f>SUM(L48:L60)</f>
        <v>0</v>
      </c>
      <c r="M61" s="88">
        <f>SUM(M48:M60)</f>
        <v>0</v>
      </c>
      <c r="N61" s="8"/>
    </row>
    <row r="62" spans="2:14" x14ac:dyDescent="0.35">
      <c r="B62" s="8"/>
      <c r="C62" s="8"/>
      <c r="D62" s="9"/>
      <c r="E62" s="9"/>
      <c r="F62" s="9"/>
      <c r="G62" s="9"/>
      <c r="H62" s="8"/>
      <c r="I62" s="77" t="e">
        <f>I61/J61</f>
        <v>#DIV/0!</v>
      </c>
      <c r="J62" s="8"/>
      <c r="K62" s="8"/>
      <c r="L62" s="8"/>
      <c r="M62" s="8"/>
    </row>
    <row r="63" spans="2:14" x14ac:dyDescent="0.35">
      <c r="B63" s="8"/>
      <c r="C63" s="8"/>
      <c r="D63" s="9"/>
      <c r="E63" s="9"/>
      <c r="F63" s="9"/>
      <c r="G63" s="9"/>
      <c r="H63" s="8"/>
      <c r="I63" s="77"/>
      <c r="J63" s="8"/>
      <c r="K63" s="8"/>
      <c r="L63" s="8"/>
      <c r="M63" s="8"/>
    </row>
    <row r="64" spans="2:14" x14ac:dyDescent="0.35">
      <c r="B64" s="363" t="s">
        <v>976</v>
      </c>
      <c r="C64" s="8"/>
      <c r="D64" s="9"/>
      <c r="E64" s="9"/>
      <c r="F64" s="1003" t="s">
        <v>0</v>
      </c>
      <c r="G64" s="1004"/>
      <c r="H64" s="1004"/>
      <c r="I64" s="1004"/>
      <c r="J64" s="1005"/>
      <c r="K64" s="1006" t="s">
        <v>89</v>
      </c>
      <c r="L64" s="1007"/>
      <c r="M64" s="8"/>
    </row>
    <row r="65" spans="2:14" x14ac:dyDescent="0.35">
      <c r="B65" s="8"/>
      <c r="C65" s="8"/>
      <c r="D65" s="9"/>
      <c r="E65" s="9"/>
      <c r="F65" s="136" t="s">
        <v>88</v>
      </c>
      <c r="G65" s="137" t="s">
        <v>88</v>
      </c>
      <c r="H65" s="137"/>
      <c r="I65" s="509" t="s">
        <v>88</v>
      </c>
      <c r="J65" s="139" t="s">
        <v>88</v>
      </c>
      <c r="K65" s="304"/>
      <c r="L65" s="510"/>
      <c r="M65" s="327" t="s">
        <v>91</v>
      </c>
    </row>
    <row r="66" spans="2:14" ht="24.5" x14ac:dyDescent="0.35">
      <c r="B66" s="76" t="s">
        <v>781</v>
      </c>
      <c r="C66" s="76" t="s">
        <v>782</v>
      </c>
      <c r="D66" s="67" t="s">
        <v>20</v>
      </c>
      <c r="E66" s="501" t="s">
        <v>21</v>
      </c>
      <c r="F66" s="131" t="s">
        <v>86</v>
      </c>
      <c r="G66" s="132" t="s">
        <v>2</v>
      </c>
      <c r="H66" s="132" t="s">
        <v>87</v>
      </c>
      <c r="I66" s="132" t="s">
        <v>31</v>
      </c>
      <c r="J66" s="132" t="s">
        <v>62</v>
      </c>
      <c r="K66" s="131" t="s">
        <v>33</v>
      </c>
      <c r="L66" s="135" t="s">
        <v>90</v>
      </c>
      <c r="M66" s="135" t="s">
        <v>32</v>
      </c>
      <c r="N66" s="511" t="s">
        <v>791</v>
      </c>
    </row>
    <row r="67" spans="2:14" x14ac:dyDescent="0.35">
      <c r="B67" s="840"/>
      <c r="C67" s="857"/>
      <c r="D67" s="845"/>
      <c r="E67" s="846"/>
      <c r="F67" s="844"/>
      <c r="G67" s="71">
        <f t="shared" ref="G67:G73" si="26">D67*F67</f>
        <v>0</v>
      </c>
      <c r="H67" s="853"/>
      <c r="I67" s="490">
        <f>J67-G67</f>
        <v>0</v>
      </c>
      <c r="J67" s="493">
        <f>G67/(100%-H67)</f>
        <v>0</v>
      </c>
      <c r="K67" s="854">
        <v>0</v>
      </c>
      <c r="L67" s="70">
        <f>J67*K67</f>
        <v>0</v>
      </c>
      <c r="M67" s="496">
        <f>J67+L67</f>
        <v>0</v>
      </c>
      <c r="N67" s="512" t="e">
        <f t="shared" ref="N67:N68" si="27">J67/D67</f>
        <v>#DIV/0!</v>
      </c>
    </row>
    <row r="68" spans="2:14" x14ac:dyDescent="0.35">
      <c r="B68" s="840"/>
      <c r="C68" s="858"/>
      <c r="D68" s="845"/>
      <c r="E68" s="846"/>
      <c r="F68" s="847"/>
      <c r="G68" s="71">
        <f t="shared" si="26"/>
        <v>0</v>
      </c>
      <c r="H68" s="853"/>
      <c r="I68" s="490">
        <f t="shared" ref="I68:I73" si="28">J68-G68</f>
        <v>0</v>
      </c>
      <c r="J68" s="494">
        <f t="shared" ref="J68:J73" si="29">G68/(100%-H68)</f>
        <v>0</v>
      </c>
      <c r="K68" s="855">
        <v>0</v>
      </c>
      <c r="L68" s="72">
        <f t="shared" ref="L68:L73" si="30">J68*K68</f>
        <v>0</v>
      </c>
      <c r="M68" s="497">
        <f t="shared" ref="M68:M73" si="31">J68+L68</f>
        <v>0</v>
      </c>
      <c r="N68" s="512" t="e">
        <f t="shared" si="27"/>
        <v>#DIV/0!</v>
      </c>
    </row>
    <row r="69" spans="2:14" x14ac:dyDescent="0.35">
      <c r="B69" s="840"/>
      <c r="C69" s="858"/>
      <c r="D69" s="845"/>
      <c r="E69" s="846"/>
      <c r="F69" s="847"/>
      <c r="G69" s="71">
        <f t="shared" si="26"/>
        <v>0</v>
      </c>
      <c r="H69" s="853"/>
      <c r="I69" s="490">
        <f t="shared" si="28"/>
        <v>0</v>
      </c>
      <c r="J69" s="494">
        <f t="shared" si="29"/>
        <v>0</v>
      </c>
      <c r="K69" s="855">
        <v>0</v>
      </c>
      <c r="L69" s="72">
        <f t="shared" si="30"/>
        <v>0</v>
      </c>
      <c r="M69" s="497">
        <f t="shared" si="31"/>
        <v>0</v>
      </c>
      <c r="N69" s="505" t="e">
        <f>J69/D69</f>
        <v>#DIV/0!</v>
      </c>
    </row>
    <row r="70" spans="2:14" x14ac:dyDescent="0.35">
      <c r="B70" s="840"/>
      <c r="C70" s="858"/>
      <c r="D70" s="845"/>
      <c r="E70" s="846"/>
      <c r="F70" s="847"/>
      <c r="G70" s="71">
        <f t="shared" si="26"/>
        <v>0</v>
      </c>
      <c r="H70" s="853"/>
      <c r="I70" s="490">
        <f t="shared" si="28"/>
        <v>0</v>
      </c>
      <c r="J70" s="494">
        <f t="shared" si="29"/>
        <v>0</v>
      </c>
      <c r="K70" s="855">
        <v>0</v>
      </c>
      <c r="L70" s="72">
        <f t="shared" si="30"/>
        <v>0</v>
      </c>
      <c r="M70" s="497">
        <f t="shared" si="31"/>
        <v>0</v>
      </c>
      <c r="N70" s="505" t="e">
        <f t="shared" ref="N70:N73" si="32">J70/D70</f>
        <v>#DIV/0!</v>
      </c>
    </row>
    <row r="71" spans="2:14" x14ac:dyDescent="0.35">
      <c r="B71" s="840"/>
      <c r="C71" s="858"/>
      <c r="D71" s="845"/>
      <c r="E71" s="846"/>
      <c r="F71" s="847"/>
      <c r="G71" s="71">
        <f t="shared" si="26"/>
        <v>0</v>
      </c>
      <c r="H71" s="853"/>
      <c r="I71" s="490">
        <f t="shared" si="28"/>
        <v>0</v>
      </c>
      <c r="J71" s="494">
        <f t="shared" si="29"/>
        <v>0</v>
      </c>
      <c r="K71" s="855">
        <v>0</v>
      </c>
      <c r="L71" s="72">
        <f t="shared" si="30"/>
        <v>0</v>
      </c>
      <c r="M71" s="497">
        <f t="shared" si="31"/>
        <v>0</v>
      </c>
      <c r="N71" s="505" t="e">
        <f t="shared" si="32"/>
        <v>#DIV/0!</v>
      </c>
    </row>
    <row r="72" spans="2:14" x14ac:dyDescent="0.35">
      <c r="B72" s="840"/>
      <c r="C72" s="858"/>
      <c r="D72" s="845"/>
      <c r="E72" s="846"/>
      <c r="F72" s="847"/>
      <c r="G72" s="71">
        <f t="shared" si="26"/>
        <v>0</v>
      </c>
      <c r="H72" s="853"/>
      <c r="I72" s="490">
        <f t="shared" si="28"/>
        <v>0</v>
      </c>
      <c r="J72" s="494">
        <f t="shared" si="29"/>
        <v>0</v>
      </c>
      <c r="K72" s="855">
        <v>0</v>
      </c>
      <c r="L72" s="72">
        <f t="shared" si="30"/>
        <v>0</v>
      </c>
      <c r="M72" s="497">
        <f t="shared" si="31"/>
        <v>0</v>
      </c>
      <c r="N72" s="505" t="e">
        <f t="shared" si="32"/>
        <v>#DIV/0!</v>
      </c>
    </row>
    <row r="73" spans="2:14" ht="15" thickBot="1" x14ac:dyDescent="0.4">
      <c r="B73" s="848"/>
      <c r="C73" s="849"/>
      <c r="D73" s="850"/>
      <c r="E73" s="846"/>
      <c r="F73" s="859"/>
      <c r="G73" s="73">
        <f t="shared" si="26"/>
        <v>0</v>
      </c>
      <c r="H73" s="860"/>
      <c r="I73" s="491">
        <f t="shared" si="28"/>
        <v>0</v>
      </c>
      <c r="J73" s="495">
        <f t="shared" si="29"/>
        <v>0</v>
      </c>
      <c r="K73" s="856">
        <v>0</v>
      </c>
      <c r="L73" s="74">
        <f t="shared" si="30"/>
        <v>0</v>
      </c>
      <c r="M73" s="498">
        <f t="shared" si="31"/>
        <v>0</v>
      </c>
      <c r="N73" s="507" t="e">
        <f t="shared" si="32"/>
        <v>#DIV/0!</v>
      </c>
    </row>
    <row r="74" spans="2:14" ht="15" thickTop="1" x14ac:dyDescent="0.35">
      <c r="B74" s="78"/>
      <c r="C74" s="79"/>
      <c r="D74" s="80"/>
      <c r="E74" s="81"/>
      <c r="F74" s="82"/>
      <c r="G74" s="83">
        <f>SUM(G67:G73)</f>
        <v>0</v>
      </c>
      <c r="H74" s="84"/>
      <c r="I74" s="405">
        <f>SUM(I67:I73)</f>
        <v>0</v>
      </c>
      <c r="J74" s="85">
        <f>SUM(J67:J73)</f>
        <v>0</v>
      </c>
      <c r="K74" s="86"/>
      <c r="L74" s="87">
        <f>SUM(L67:L73)</f>
        <v>0</v>
      </c>
      <c r="M74" s="88">
        <f>SUM(M67:M73)</f>
        <v>0</v>
      </c>
      <c r="N74" s="508"/>
    </row>
    <row r="75" spans="2:14" x14ac:dyDescent="0.35">
      <c r="I75" s="77" t="e">
        <f>I74/J74</f>
        <v>#DIV/0!</v>
      </c>
    </row>
    <row r="76" spans="2:14" ht="15" thickBot="1" x14ac:dyDescent="0.4">
      <c r="B76" s="179"/>
      <c r="C76" s="179"/>
      <c r="D76" s="180"/>
      <c r="E76" s="180"/>
      <c r="F76" s="180"/>
      <c r="G76" s="180"/>
      <c r="H76" s="179"/>
      <c r="I76" s="179"/>
      <c r="J76" s="179"/>
      <c r="K76" s="179"/>
      <c r="L76" s="179"/>
      <c r="M76" s="179"/>
      <c r="N76" s="179"/>
    </row>
    <row r="79" spans="2:14" x14ac:dyDescent="0.35">
      <c r="B79" s="821" t="s">
        <v>789</v>
      </c>
      <c r="F79" s="4"/>
      <c r="G79" s="514" t="s">
        <v>2</v>
      </c>
      <c r="H79" s="3"/>
      <c r="I79" s="514" t="s">
        <v>31</v>
      </c>
      <c r="J79" s="514" t="s">
        <v>773</v>
      </c>
      <c r="K79" s="3"/>
      <c r="L79" s="3"/>
      <c r="M79" s="514" t="s">
        <v>774</v>
      </c>
    </row>
    <row r="80" spans="2:14" x14ac:dyDescent="0.35">
      <c r="E80" s="364"/>
      <c r="F80" s="364" t="s">
        <v>720</v>
      </c>
      <c r="G80" s="839"/>
      <c r="H80" s="8"/>
      <c r="I80" s="8">
        <f>G80</f>
        <v>0</v>
      </c>
      <c r="J80" s="8">
        <f>G80</f>
        <v>0</v>
      </c>
      <c r="K80" s="8"/>
      <c r="L80" s="8"/>
      <c r="M80" s="8">
        <f>G80</f>
        <v>0</v>
      </c>
    </row>
    <row r="81" spans="2:14" x14ac:dyDescent="0.35">
      <c r="B81" s="499" t="s">
        <v>977</v>
      </c>
      <c r="F81" s="502" t="s">
        <v>721</v>
      </c>
      <c r="G81" s="503" t="e">
        <f>G99/G80</f>
        <v>#DIV/0!</v>
      </c>
      <c r="H81" s="500"/>
      <c r="I81" s="503" t="e">
        <f>I99/I80</f>
        <v>#DIV/0!</v>
      </c>
      <c r="J81" s="503" t="e">
        <f>J99/J80</f>
        <v>#DIV/0!</v>
      </c>
      <c r="K81" s="504"/>
      <c r="L81" s="500"/>
      <c r="M81" s="503" t="e">
        <f>M99/M80</f>
        <v>#DIV/0!</v>
      </c>
    </row>
    <row r="82" spans="2:14" x14ac:dyDescent="0.35">
      <c r="B82" s="838" t="s">
        <v>978</v>
      </c>
    </row>
    <row r="83" spans="2:14" x14ac:dyDescent="0.35">
      <c r="E83" s="14"/>
      <c r="F83" s="1003" t="s">
        <v>0</v>
      </c>
      <c r="G83" s="1004"/>
      <c r="H83" s="1004"/>
      <c r="I83" s="1004"/>
      <c r="J83" s="1005"/>
      <c r="K83" s="1006" t="s">
        <v>89</v>
      </c>
      <c r="L83" s="1007"/>
    </row>
    <row r="84" spans="2:14" x14ac:dyDescent="0.35">
      <c r="B84" s="241" t="s">
        <v>778</v>
      </c>
      <c r="C84" s="3"/>
      <c r="F84" s="136" t="s">
        <v>88</v>
      </c>
      <c r="G84" s="137" t="s">
        <v>88</v>
      </c>
      <c r="H84" s="138"/>
      <c r="I84" s="137" t="s">
        <v>88</v>
      </c>
      <c r="J84" s="137" t="s">
        <v>88</v>
      </c>
      <c r="K84" s="136"/>
      <c r="L84" s="139"/>
      <c r="M84" s="139" t="s">
        <v>91</v>
      </c>
    </row>
    <row r="85" spans="2:14" x14ac:dyDescent="0.35">
      <c r="B85" s="75" t="s">
        <v>4</v>
      </c>
      <c r="C85" s="76" t="s">
        <v>5</v>
      </c>
      <c r="D85" s="67" t="s">
        <v>20</v>
      </c>
      <c r="E85" s="68" t="s">
        <v>21</v>
      </c>
      <c r="F85" s="131" t="s">
        <v>86</v>
      </c>
      <c r="G85" s="132" t="s">
        <v>2</v>
      </c>
      <c r="H85" s="132" t="s">
        <v>87</v>
      </c>
      <c r="I85" s="132" t="s">
        <v>31</v>
      </c>
      <c r="J85" s="132" t="s">
        <v>32</v>
      </c>
      <c r="K85" s="133" t="s">
        <v>33</v>
      </c>
      <c r="L85" s="134" t="s">
        <v>90</v>
      </c>
      <c r="M85" s="135" t="s">
        <v>32</v>
      </c>
      <c r="N85" s="8"/>
    </row>
    <row r="86" spans="2:14" x14ac:dyDescent="0.35">
      <c r="B86" s="840"/>
      <c r="C86" s="841"/>
      <c r="D86" s="842"/>
      <c r="E86" s="843"/>
      <c r="F86" s="844"/>
      <c r="G86" s="69">
        <f>D86*F86</f>
        <v>0</v>
      </c>
      <c r="H86" s="852"/>
      <c r="I86" s="489">
        <f>J86-G86</f>
        <v>0</v>
      </c>
      <c r="J86" s="493">
        <f>G86/(100%-H86)</f>
        <v>0</v>
      </c>
      <c r="K86" s="854"/>
      <c r="L86" s="70">
        <f>J86*K86</f>
        <v>0</v>
      </c>
      <c r="M86" s="496">
        <f>J86+L86</f>
        <v>0</v>
      </c>
      <c r="N86" s="8"/>
    </row>
    <row r="87" spans="2:14" x14ac:dyDescent="0.35">
      <c r="B87" s="840"/>
      <c r="C87" s="841"/>
      <c r="D87" s="845"/>
      <c r="E87" s="846"/>
      <c r="F87" s="847"/>
      <c r="G87" s="71">
        <f t="shared" ref="G87:G98" si="33">D87*F87</f>
        <v>0</v>
      </c>
      <c r="H87" s="853"/>
      <c r="I87" s="490">
        <f t="shared" ref="I87:I91" si="34">J87-G87</f>
        <v>0</v>
      </c>
      <c r="J87" s="494">
        <f t="shared" ref="J87:J98" si="35">G87/(100%-H87)</f>
        <v>0</v>
      </c>
      <c r="K87" s="855"/>
      <c r="L87" s="72">
        <f>J87*K87</f>
        <v>0</v>
      </c>
      <c r="M87" s="497">
        <f t="shared" ref="M87:M98" si="36">J87+L87</f>
        <v>0</v>
      </c>
      <c r="N87" s="8"/>
    </row>
    <row r="88" spans="2:14" x14ac:dyDescent="0.35">
      <c r="B88" s="840"/>
      <c r="C88" s="841"/>
      <c r="D88" s="845"/>
      <c r="E88" s="846"/>
      <c r="F88" s="847"/>
      <c r="G88" s="71">
        <f t="shared" si="33"/>
        <v>0</v>
      </c>
      <c r="H88" s="853"/>
      <c r="I88" s="490">
        <f t="shared" si="34"/>
        <v>0</v>
      </c>
      <c r="J88" s="494">
        <f t="shared" si="35"/>
        <v>0</v>
      </c>
      <c r="K88" s="855"/>
      <c r="L88" s="72">
        <f t="shared" ref="L88:L91" si="37">J88*K88</f>
        <v>0</v>
      </c>
      <c r="M88" s="497">
        <f t="shared" si="36"/>
        <v>0</v>
      </c>
      <c r="N88" s="8"/>
    </row>
    <row r="89" spans="2:14" x14ac:dyDescent="0.35">
      <c r="B89" s="840"/>
      <c r="C89" s="841"/>
      <c r="D89" s="845"/>
      <c r="E89" s="846"/>
      <c r="F89" s="847"/>
      <c r="G89" s="71">
        <f t="shared" si="33"/>
        <v>0</v>
      </c>
      <c r="H89" s="853"/>
      <c r="I89" s="490">
        <f t="shared" si="34"/>
        <v>0</v>
      </c>
      <c r="J89" s="494">
        <f t="shared" si="35"/>
        <v>0</v>
      </c>
      <c r="K89" s="855"/>
      <c r="L89" s="72">
        <f t="shared" si="37"/>
        <v>0</v>
      </c>
      <c r="M89" s="497">
        <f t="shared" si="36"/>
        <v>0</v>
      </c>
      <c r="N89" s="8"/>
    </row>
    <row r="90" spans="2:14" x14ac:dyDescent="0.35">
      <c r="B90" s="840"/>
      <c r="C90" s="841"/>
      <c r="D90" s="845"/>
      <c r="E90" s="846"/>
      <c r="F90" s="847"/>
      <c r="G90" s="71">
        <f t="shared" si="33"/>
        <v>0</v>
      </c>
      <c r="H90" s="853"/>
      <c r="I90" s="490">
        <f t="shared" si="34"/>
        <v>0</v>
      </c>
      <c r="J90" s="494">
        <f t="shared" si="35"/>
        <v>0</v>
      </c>
      <c r="K90" s="855"/>
      <c r="L90" s="72">
        <f t="shared" si="37"/>
        <v>0</v>
      </c>
      <c r="M90" s="497">
        <f t="shared" si="36"/>
        <v>0</v>
      </c>
      <c r="N90" s="8"/>
    </row>
    <row r="91" spans="2:14" x14ac:dyDescent="0.35">
      <c r="B91" s="840"/>
      <c r="C91" s="841"/>
      <c r="D91" s="845"/>
      <c r="E91" s="846"/>
      <c r="F91" s="847"/>
      <c r="G91" s="71">
        <f t="shared" si="33"/>
        <v>0</v>
      </c>
      <c r="H91" s="853"/>
      <c r="I91" s="490">
        <f t="shared" si="34"/>
        <v>0</v>
      </c>
      <c r="J91" s="494">
        <f t="shared" si="35"/>
        <v>0</v>
      </c>
      <c r="K91" s="855"/>
      <c r="L91" s="72">
        <f t="shared" si="37"/>
        <v>0</v>
      </c>
      <c r="M91" s="497">
        <f t="shared" si="36"/>
        <v>0</v>
      </c>
    </row>
    <row r="92" spans="2:14" x14ac:dyDescent="0.35">
      <c r="B92" s="840"/>
      <c r="C92" s="841"/>
      <c r="D92" s="845"/>
      <c r="E92" s="846"/>
      <c r="F92" s="847"/>
      <c r="G92" s="71">
        <f t="shared" si="33"/>
        <v>0</v>
      </c>
      <c r="H92" s="853"/>
      <c r="I92" s="490">
        <f>J92-G92</f>
        <v>0</v>
      </c>
      <c r="J92" s="494">
        <f t="shared" si="35"/>
        <v>0</v>
      </c>
      <c r="K92" s="855"/>
      <c r="L92" s="72">
        <f>J92*K92</f>
        <v>0</v>
      </c>
      <c r="M92" s="497">
        <f t="shared" si="36"/>
        <v>0</v>
      </c>
    </row>
    <row r="93" spans="2:14" x14ac:dyDescent="0.35">
      <c r="B93" s="840"/>
      <c r="C93" s="841"/>
      <c r="D93" s="845"/>
      <c r="E93" s="846"/>
      <c r="F93" s="847"/>
      <c r="G93" s="71">
        <f t="shared" si="33"/>
        <v>0</v>
      </c>
      <c r="H93" s="853"/>
      <c r="I93" s="490">
        <f t="shared" ref="I93:I98" si="38">J93-G93</f>
        <v>0</v>
      </c>
      <c r="J93" s="494">
        <f t="shared" si="35"/>
        <v>0</v>
      </c>
      <c r="K93" s="855"/>
      <c r="L93" s="72">
        <f t="shared" ref="L93:L98" si="39">J93*K93</f>
        <v>0</v>
      </c>
      <c r="M93" s="497">
        <f t="shared" si="36"/>
        <v>0</v>
      </c>
    </row>
    <row r="94" spans="2:14" x14ac:dyDescent="0.35">
      <c r="B94" s="840"/>
      <c r="C94" s="841"/>
      <c r="D94" s="845"/>
      <c r="E94" s="846"/>
      <c r="F94" s="847"/>
      <c r="G94" s="71">
        <f t="shared" si="33"/>
        <v>0</v>
      </c>
      <c r="H94" s="853"/>
      <c r="I94" s="490">
        <f t="shared" si="38"/>
        <v>0</v>
      </c>
      <c r="J94" s="494">
        <f t="shared" si="35"/>
        <v>0</v>
      </c>
      <c r="K94" s="855"/>
      <c r="L94" s="72">
        <f t="shared" si="39"/>
        <v>0</v>
      </c>
      <c r="M94" s="497">
        <f t="shared" si="36"/>
        <v>0</v>
      </c>
    </row>
    <row r="95" spans="2:14" x14ac:dyDescent="0.35">
      <c r="B95" s="840"/>
      <c r="C95" s="841"/>
      <c r="D95" s="845"/>
      <c r="E95" s="846"/>
      <c r="F95" s="847"/>
      <c r="G95" s="71">
        <f t="shared" si="33"/>
        <v>0</v>
      </c>
      <c r="H95" s="853"/>
      <c r="I95" s="490">
        <f t="shared" si="38"/>
        <v>0</v>
      </c>
      <c r="J95" s="494">
        <f t="shared" si="35"/>
        <v>0</v>
      </c>
      <c r="K95" s="855"/>
      <c r="L95" s="72">
        <f t="shared" si="39"/>
        <v>0</v>
      </c>
      <c r="M95" s="497">
        <f t="shared" si="36"/>
        <v>0</v>
      </c>
    </row>
    <row r="96" spans="2:14" x14ac:dyDescent="0.35">
      <c r="B96" s="840"/>
      <c r="C96" s="841"/>
      <c r="D96" s="845"/>
      <c r="E96" s="846"/>
      <c r="F96" s="847"/>
      <c r="G96" s="71">
        <f t="shared" si="33"/>
        <v>0</v>
      </c>
      <c r="H96" s="853"/>
      <c r="I96" s="490">
        <f t="shared" si="38"/>
        <v>0</v>
      </c>
      <c r="J96" s="494">
        <f t="shared" si="35"/>
        <v>0</v>
      </c>
      <c r="K96" s="855"/>
      <c r="L96" s="72">
        <f t="shared" si="39"/>
        <v>0</v>
      </c>
      <c r="M96" s="497">
        <f t="shared" si="36"/>
        <v>0</v>
      </c>
    </row>
    <row r="97" spans="2:14" x14ac:dyDescent="0.35">
      <c r="B97" s="840"/>
      <c r="C97" s="841"/>
      <c r="D97" s="845"/>
      <c r="E97" s="846"/>
      <c r="F97" s="847"/>
      <c r="G97" s="71">
        <f t="shared" si="33"/>
        <v>0</v>
      </c>
      <c r="H97" s="853"/>
      <c r="I97" s="490">
        <f t="shared" si="38"/>
        <v>0</v>
      </c>
      <c r="J97" s="494">
        <f t="shared" si="35"/>
        <v>0</v>
      </c>
      <c r="K97" s="855"/>
      <c r="L97" s="72">
        <f t="shared" si="39"/>
        <v>0</v>
      </c>
      <c r="M97" s="497">
        <f t="shared" si="36"/>
        <v>0</v>
      </c>
    </row>
    <row r="98" spans="2:14" ht="15" thickBot="1" x14ac:dyDescent="0.4">
      <c r="B98" s="848"/>
      <c r="C98" s="849"/>
      <c r="D98" s="850"/>
      <c r="E98" s="851"/>
      <c r="F98" s="847"/>
      <c r="G98" s="71">
        <f t="shared" si="33"/>
        <v>0</v>
      </c>
      <c r="H98" s="853"/>
      <c r="I98" s="490">
        <f t="shared" si="38"/>
        <v>0</v>
      </c>
      <c r="J98" s="494">
        <f t="shared" si="35"/>
        <v>0</v>
      </c>
      <c r="K98" s="856"/>
      <c r="L98" s="74">
        <f t="shared" si="39"/>
        <v>0</v>
      </c>
      <c r="M98" s="498">
        <f t="shared" si="36"/>
        <v>0</v>
      </c>
    </row>
    <row r="99" spans="2:14" ht="15" thickTop="1" x14ac:dyDescent="0.35">
      <c r="B99" s="78"/>
      <c r="C99" s="79"/>
      <c r="D99" s="80"/>
      <c r="E99" s="81"/>
      <c r="F99" s="82"/>
      <c r="G99" s="83">
        <f>SUM(G86:G98)</f>
        <v>0</v>
      </c>
      <c r="H99" s="513"/>
      <c r="I99" s="405">
        <f>SUM(I86:I98)</f>
        <v>0</v>
      </c>
      <c r="J99" s="85">
        <f>SUM(J86:J98)</f>
        <v>0</v>
      </c>
      <c r="K99" s="86"/>
      <c r="L99" s="87">
        <f>SUM(L86:L98)</f>
        <v>0</v>
      </c>
      <c r="M99" s="88">
        <f>SUM(M86:M98)</f>
        <v>0</v>
      </c>
      <c r="N99" s="8"/>
    </row>
    <row r="100" spans="2:14" x14ac:dyDescent="0.35">
      <c r="B100" s="8"/>
      <c r="C100" s="8"/>
      <c r="D100" s="9"/>
      <c r="E100" s="9"/>
      <c r="F100" s="9"/>
      <c r="G100" s="9"/>
      <c r="H100" s="8"/>
      <c r="I100" s="77" t="e">
        <f>I99/J99</f>
        <v>#DIV/0!</v>
      </c>
      <c r="J100" s="8"/>
      <c r="K100" s="8"/>
      <c r="L100" s="8"/>
      <c r="M100" s="8"/>
    </row>
    <row r="101" spans="2:14" x14ac:dyDescent="0.35">
      <c r="B101" s="8"/>
      <c r="C101" s="8"/>
      <c r="D101" s="9"/>
      <c r="E101" s="9"/>
      <c r="F101" s="9"/>
      <c r="G101" s="9"/>
      <c r="H101" s="8"/>
      <c r="I101" s="77"/>
      <c r="J101" s="8"/>
      <c r="K101" s="8"/>
      <c r="L101" s="8"/>
      <c r="M101" s="8"/>
    </row>
    <row r="102" spans="2:14" x14ac:dyDescent="0.35">
      <c r="B102" s="363" t="s">
        <v>976</v>
      </c>
      <c r="C102" s="8"/>
      <c r="D102" s="9"/>
      <c r="E102" s="9"/>
      <c r="F102" s="1003" t="s">
        <v>0</v>
      </c>
      <c r="G102" s="1004"/>
      <c r="H102" s="1004"/>
      <c r="I102" s="1004"/>
      <c r="J102" s="1005"/>
      <c r="K102" s="1006" t="s">
        <v>89</v>
      </c>
      <c r="L102" s="1007"/>
      <c r="M102" s="8"/>
    </row>
    <row r="103" spans="2:14" x14ac:dyDescent="0.35">
      <c r="B103" s="8"/>
      <c r="C103" s="8"/>
      <c r="D103" s="9"/>
      <c r="E103" s="9"/>
      <c r="F103" s="136" t="s">
        <v>88</v>
      </c>
      <c r="G103" s="137" t="s">
        <v>88</v>
      </c>
      <c r="H103" s="137"/>
      <c r="I103" s="509" t="s">
        <v>88</v>
      </c>
      <c r="J103" s="139" t="s">
        <v>88</v>
      </c>
      <c r="K103" s="304"/>
      <c r="L103" s="510"/>
      <c r="M103" s="327" t="s">
        <v>91</v>
      </c>
    </row>
    <row r="104" spans="2:14" ht="24.5" x14ac:dyDescent="0.35">
      <c r="B104" s="76" t="s">
        <v>781</v>
      </c>
      <c r="C104" s="76" t="s">
        <v>782</v>
      </c>
      <c r="D104" s="67" t="s">
        <v>20</v>
      </c>
      <c r="E104" s="501" t="s">
        <v>21</v>
      </c>
      <c r="F104" s="131" t="s">
        <v>86</v>
      </c>
      <c r="G104" s="132" t="s">
        <v>2</v>
      </c>
      <c r="H104" s="132" t="s">
        <v>87</v>
      </c>
      <c r="I104" s="132" t="s">
        <v>31</v>
      </c>
      <c r="J104" s="132" t="s">
        <v>62</v>
      </c>
      <c r="K104" s="131" t="s">
        <v>33</v>
      </c>
      <c r="L104" s="135" t="s">
        <v>90</v>
      </c>
      <c r="M104" s="135" t="s">
        <v>32</v>
      </c>
      <c r="N104" s="511" t="s">
        <v>791</v>
      </c>
    </row>
    <row r="105" spans="2:14" x14ac:dyDescent="0.35">
      <c r="B105" s="840"/>
      <c r="C105" s="857"/>
      <c r="D105" s="845"/>
      <c r="E105" s="846"/>
      <c r="F105" s="844"/>
      <c r="G105" s="71">
        <f t="shared" ref="G105:G111" si="40">D105*F105</f>
        <v>0</v>
      </c>
      <c r="H105" s="853"/>
      <c r="I105" s="490">
        <f>J105-G105</f>
        <v>0</v>
      </c>
      <c r="J105" s="493">
        <f>G105/(100%-H105)</f>
        <v>0</v>
      </c>
      <c r="K105" s="854">
        <v>0</v>
      </c>
      <c r="L105" s="70">
        <f>J105*K105</f>
        <v>0</v>
      </c>
      <c r="M105" s="496">
        <f>J105+L105</f>
        <v>0</v>
      </c>
      <c r="N105" s="512" t="e">
        <f t="shared" ref="N105:N106" si="41">J105/D105</f>
        <v>#DIV/0!</v>
      </c>
    </row>
    <row r="106" spans="2:14" x14ac:dyDescent="0.35">
      <c r="B106" s="840"/>
      <c r="C106" s="858"/>
      <c r="D106" s="845"/>
      <c r="E106" s="846"/>
      <c r="F106" s="847"/>
      <c r="G106" s="71">
        <f t="shared" si="40"/>
        <v>0</v>
      </c>
      <c r="H106" s="853"/>
      <c r="I106" s="490">
        <f t="shared" ref="I106:I111" si="42">J106-G106</f>
        <v>0</v>
      </c>
      <c r="J106" s="494">
        <f t="shared" ref="J106:J111" si="43">G106/(100%-H106)</f>
        <v>0</v>
      </c>
      <c r="K106" s="855">
        <v>0</v>
      </c>
      <c r="L106" s="72">
        <f t="shared" ref="L106:L111" si="44">J106*K106</f>
        <v>0</v>
      </c>
      <c r="M106" s="497">
        <f t="shared" ref="M106:M111" si="45">J106+L106</f>
        <v>0</v>
      </c>
      <c r="N106" s="512" t="e">
        <f t="shared" si="41"/>
        <v>#DIV/0!</v>
      </c>
    </row>
    <row r="107" spans="2:14" x14ac:dyDescent="0.35">
      <c r="B107" s="840"/>
      <c r="C107" s="858"/>
      <c r="D107" s="845"/>
      <c r="E107" s="846"/>
      <c r="F107" s="847"/>
      <c r="G107" s="71">
        <f t="shared" si="40"/>
        <v>0</v>
      </c>
      <c r="H107" s="853"/>
      <c r="I107" s="490">
        <f t="shared" si="42"/>
        <v>0</v>
      </c>
      <c r="J107" s="494">
        <f t="shared" si="43"/>
        <v>0</v>
      </c>
      <c r="K107" s="855">
        <v>0</v>
      </c>
      <c r="L107" s="72">
        <f t="shared" si="44"/>
        <v>0</v>
      </c>
      <c r="M107" s="497">
        <f t="shared" si="45"/>
        <v>0</v>
      </c>
      <c r="N107" s="505" t="e">
        <f>J107/D107</f>
        <v>#DIV/0!</v>
      </c>
    </row>
    <row r="108" spans="2:14" x14ac:dyDescent="0.35">
      <c r="B108" s="840"/>
      <c r="C108" s="858"/>
      <c r="D108" s="845"/>
      <c r="E108" s="846"/>
      <c r="F108" s="847"/>
      <c r="G108" s="71">
        <f t="shared" si="40"/>
        <v>0</v>
      </c>
      <c r="H108" s="853"/>
      <c r="I108" s="490">
        <f t="shared" si="42"/>
        <v>0</v>
      </c>
      <c r="J108" s="494">
        <f t="shared" si="43"/>
        <v>0</v>
      </c>
      <c r="K108" s="855">
        <v>0</v>
      </c>
      <c r="L108" s="72">
        <f t="shared" si="44"/>
        <v>0</v>
      </c>
      <c r="M108" s="497">
        <f t="shared" si="45"/>
        <v>0</v>
      </c>
      <c r="N108" s="505" t="e">
        <f t="shared" ref="N108:N111" si="46">J108/D108</f>
        <v>#DIV/0!</v>
      </c>
    </row>
    <row r="109" spans="2:14" x14ac:dyDescent="0.35">
      <c r="B109" s="840"/>
      <c r="C109" s="858"/>
      <c r="D109" s="845"/>
      <c r="E109" s="846"/>
      <c r="F109" s="847"/>
      <c r="G109" s="71">
        <f t="shared" si="40"/>
        <v>0</v>
      </c>
      <c r="H109" s="853"/>
      <c r="I109" s="490">
        <f t="shared" si="42"/>
        <v>0</v>
      </c>
      <c r="J109" s="494">
        <f t="shared" si="43"/>
        <v>0</v>
      </c>
      <c r="K109" s="855">
        <v>0</v>
      </c>
      <c r="L109" s="72">
        <f t="shared" si="44"/>
        <v>0</v>
      </c>
      <c r="M109" s="497">
        <f t="shared" si="45"/>
        <v>0</v>
      </c>
      <c r="N109" s="505" t="e">
        <f t="shared" si="46"/>
        <v>#DIV/0!</v>
      </c>
    </row>
    <row r="110" spans="2:14" x14ac:dyDescent="0.35">
      <c r="B110" s="840"/>
      <c r="C110" s="858"/>
      <c r="D110" s="845"/>
      <c r="E110" s="846"/>
      <c r="F110" s="847"/>
      <c r="G110" s="71">
        <f t="shared" si="40"/>
        <v>0</v>
      </c>
      <c r="H110" s="853"/>
      <c r="I110" s="490">
        <f t="shared" si="42"/>
        <v>0</v>
      </c>
      <c r="J110" s="494">
        <f t="shared" si="43"/>
        <v>0</v>
      </c>
      <c r="K110" s="855">
        <v>0</v>
      </c>
      <c r="L110" s="72">
        <f t="shared" si="44"/>
        <v>0</v>
      </c>
      <c r="M110" s="497">
        <f t="shared" si="45"/>
        <v>0</v>
      </c>
      <c r="N110" s="505" t="e">
        <f t="shared" si="46"/>
        <v>#DIV/0!</v>
      </c>
    </row>
    <row r="111" spans="2:14" ht="15" thickBot="1" x14ac:dyDescent="0.4">
      <c r="B111" s="848"/>
      <c r="C111" s="849"/>
      <c r="D111" s="850"/>
      <c r="E111" s="846"/>
      <c r="F111" s="859"/>
      <c r="G111" s="73">
        <f t="shared" si="40"/>
        <v>0</v>
      </c>
      <c r="H111" s="860"/>
      <c r="I111" s="491">
        <f t="shared" si="42"/>
        <v>0</v>
      </c>
      <c r="J111" s="495">
        <f t="shared" si="43"/>
        <v>0</v>
      </c>
      <c r="K111" s="856">
        <v>0</v>
      </c>
      <c r="L111" s="74">
        <f t="shared" si="44"/>
        <v>0</v>
      </c>
      <c r="M111" s="498">
        <f t="shared" si="45"/>
        <v>0</v>
      </c>
      <c r="N111" s="507" t="e">
        <f t="shared" si="46"/>
        <v>#DIV/0!</v>
      </c>
    </row>
    <row r="112" spans="2:14" ht="15" thickTop="1" x14ac:dyDescent="0.35">
      <c r="B112" s="78"/>
      <c r="C112" s="79"/>
      <c r="D112" s="80"/>
      <c r="E112" s="81"/>
      <c r="F112" s="82"/>
      <c r="G112" s="83">
        <f>SUM(G105:G111)</f>
        <v>0</v>
      </c>
      <c r="H112" s="84"/>
      <c r="I112" s="405">
        <f>SUM(I105:I111)</f>
        <v>0</v>
      </c>
      <c r="J112" s="85">
        <f>SUM(J105:J111)</f>
        <v>0</v>
      </c>
      <c r="K112" s="86"/>
      <c r="L112" s="87">
        <f>SUM(L105:L111)</f>
        <v>0</v>
      </c>
      <c r="M112" s="88">
        <f>SUM(M105:M111)</f>
        <v>0</v>
      </c>
      <c r="N112" s="508"/>
    </row>
    <row r="113" spans="9:9" x14ac:dyDescent="0.35">
      <c r="I113" s="77" t="e">
        <f>I112/J112</f>
        <v>#DIV/0!</v>
      </c>
    </row>
  </sheetData>
  <sheetProtection algorithmName="SHA-512" hashValue="1Jx/dX2FVSvdj4YplsLgajWqBJbQdjZC0C2G929gDviHuksoNvBXOaK7fMkIlAH+RV2UVwdv+6attbv+qTS0cA==" saltValue="ZU7zOsO6fYANm4ki1Jhl5w==" spinCount="100000" sheet="1" objects="1" scenarios="1" formatCells="0" selectLockedCells="1"/>
  <mergeCells count="12">
    <mergeCell ref="K7:L7"/>
    <mergeCell ref="F7:J7"/>
    <mergeCell ref="F26:J26"/>
    <mergeCell ref="K26:L26"/>
    <mergeCell ref="F102:J102"/>
    <mergeCell ref="K102:L102"/>
    <mergeCell ref="F45:J45"/>
    <mergeCell ref="K45:L45"/>
    <mergeCell ref="F64:J64"/>
    <mergeCell ref="K64:L64"/>
    <mergeCell ref="F83:J83"/>
    <mergeCell ref="K83:L83"/>
  </mergeCells>
  <phoneticPr fontId="10" type="noConversion"/>
  <pageMargins left="0.7" right="0.7" top="0.75" bottom="0.75" header="0.3" footer="0.3"/>
  <pageSetup orientation="portrait" horizontalDpi="1200" verticalDpi="1200" r:id="rId1"/>
  <ignoredErrors>
    <ignoredError sqref="N29:N35 I37 H67:N75 I62 F43:M61 F81:N113" evalError="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D497FAA-76EE-4BBE-9FE5-27650D418E21}">
          <x14:formula1>
            <xm:f>Parametrit!$B$2:$B$15</xm:f>
          </x14:formula1>
          <xm:sqref>C10:C22 C48:C60 C86:C98</xm:sqref>
        </x14:dataValidation>
        <x14:dataValidation type="list" allowBlank="1" showInputMessage="1" showErrorMessage="1" xr:uid="{1E3FE528-16E5-4009-83EA-BA6E15017AC6}">
          <x14:formula1>
            <xm:f>Parametrit!$D$2:$D$7</xm:f>
          </x14:formula1>
          <xm:sqref>E29:E35 E10:E22 E67:E73 E48:E60 E105:E111 E86:E98</xm:sqref>
        </x14:dataValidation>
        <x14:dataValidation type="list" allowBlank="1" showInputMessage="1" showErrorMessage="1" xr:uid="{6CCFC124-037A-4124-9018-EFCACD23399E}">
          <x14:formula1>
            <xm:f>Parametrit!$E$2:$E$5</xm:f>
          </x14:formula1>
          <xm:sqref>K29:K35 K10:K22 K67:K73 K48:K60 K105:K111 K86:K98</xm:sqref>
        </x14:dataValidation>
      </x14:dataValidations>
    </ext>
  </extLst>
</worksheet>
</file>

<file path=docMetadata/LabelInfo.xml><?xml version="1.0" encoding="utf-8"?>
<clbl:labelList xmlns:clbl="http://schemas.microsoft.com/office/2020/mipLabelMetadata">
  <clbl:label id="{f49eef2c-c7b6-47a5-ac28-9a1aa7a0e57d}" enabled="1" method="Privileged" siteId="{6e9eaaf0-3ff7-4de9-8cd4-1ffbd45951b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27</vt:i4>
      </vt:variant>
    </vt:vector>
  </HeadingPairs>
  <TitlesOfParts>
    <vt:vector size="27" baseType="lpstr">
      <vt:lpstr>ETUSIVU</vt:lpstr>
      <vt:lpstr>Tuotekortti</vt:lpstr>
      <vt:lpstr>Hinnoittelu v1</vt:lpstr>
      <vt:lpstr>Sheet5</vt:lpstr>
      <vt:lpstr>BMC</vt:lpstr>
      <vt:lpstr>Myyntiennuste</vt:lpstr>
      <vt:lpstr>Kiinteät kustannukset</vt:lpstr>
      <vt:lpstr>Kassavirtalaskelma</vt:lpstr>
      <vt:lpstr>HINNOITTELU</vt:lpstr>
      <vt:lpstr>Katetuottoajattelu</vt:lpstr>
      <vt:lpstr>1 INVESTOINTISUUNNITELMA</vt:lpstr>
      <vt:lpstr>AT1 Investoinnit</vt:lpstr>
      <vt:lpstr>2 &amp; 7 TULOSSUUNNITELMA</vt:lpstr>
      <vt:lpstr>3 TASE</vt:lpstr>
      <vt:lpstr>4 LAINAT</vt:lpstr>
      <vt:lpstr>AT4 Lainat</vt:lpstr>
      <vt:lpstr>5 KUSTANNUKSET</vt:lpstr>
      <vt:lpstr>AT5 Alv-ostot</vt:lpstr>
      <vt:lpstr>6 LIIKEVAIHTO</vt:lpstr>
      <vt:lpstr>8 RAHOITUSSUUNNITELMA</vt:lpstr>
      <vt:lpstr>9 KASSABUDJETTI</vt:lpstr>
      <vt:lpstr>AT9 Kassa</vt:lpstr>
      <vt:lpstr>AT9 Alv-laskenta</vt:lpstr>
      <vt:lpstr>10 YHTEENVETO</vt:lpstr>
      <vt:lpstr>11 GRAAFIT</vt:lpstr>
      <vt:lpstr>AT11 Data graafeihin</vt:lpstr>
      <vt:lpstr>Parametrit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Laaksonen Aki</dc:creator>
  <cp:lastModifiedBy>Häyrynen Tommi</cp:lastModifiedBy>
  <dcterms:created xsi:type="dcterms:W3CDTF">2024-09-01T17:09:45Z</dcterms:created>
  <dcterms:modified xsi:type="dcterms:W3CDTF">2026-05-22T03:33:21Z</dcterms:modified>
</cp:coreProperties>
</file>